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8805" tabRatio="860" activeTab="7"/>
  </bookViews>
  <sheets>
    <sheet name="пр.1дох.23" sheetId="1" r:id="rId1"/>
    <sheet name="пр.2 Рд,пр 23" sheetId="2" r:id="rId2"/>
    <sheet name="Пр.3 Рд,пр, ЦС,ВР 23" sheetId="3" r:id="rId3"/>
    <sheet name="Пр.4 Ведом23" sheetId="4" r:id="rId4"/>
    <sheet name="пр.5 МП 23" sheetId="5" r:id="rId5"/>
    <sheet name="пр.6 Дет.бюджет" sheetId="34" r:id="rId6"/>
    <sheet name="пр.7 публ. 23" sheetId="6" r:id="rId7"/>
    <sheet name="пр.8 Ист-ки 23" sheetId="7" r:id="rId8"/>
    <sheet name="Лист1" sheetId="25" state="hidden" r:id="rId9"/>
  </sheets>
  <definedNames>
    <definedName name="_xlnm._FilterDatabase" localSheetId="0" hidden="1">пр.1дох.23!$A$2:$C$170</definedName>
    <definedName name="_xlnm._FilterDatabase" localSheetId="2" hidden="1">'Пр.3 Рд,пр, ЦС,ВР 23'!$A$9:$L$1276</definedName>
    <definedName name="_xlnm._FilterDatabase" localSheetId="3" hidden="1">'Пр.4 Ведом23'!$A$10:$J$1420</definedName>
    <definedName name="_xlnm._FilterDatabase" localSheetId="4" hidden="1">'пр.5 МП 23'!$A$107:$N$1101</definedName>
    <definedName name="_xlnm._FilterDatabase" localSheetId="5" hidden="1">'пр.6 Дет.бюджет'!$A$115:$N$375</definedName>
    <definedName name="_xlnm.Print_Area" localSheetId="0">пр.1дох.23!$A$1:$E$171</definedName>
    <definedName name="_xlnm.Print_Area" localSheetId="1">'пр.2 Рд,пр 23'!$A$1:$F$62</definedName>
    <definedName name="_xlnm.Print_Area" localSheetId="2">'Пр.3 Рд,пр, ЦС,ВР 23'!$A$1:$H$1275</definedName>
    <definedName name="_xlnm.Print_Area" localSheetId="3">'Пр.4 Ведом23'!$A$1:$I$1420</definedName>
    <definedName name="_xlnm.Print_Area" localSheetId="4">'пр.5 МП 23'!$A$1:$I$1101</definedName>
    <definedName name="_xlnm.Print_Area" localSheetId="5">'пр.6 Дет.бюджет'!$A$1:$I$375</definedName>
    <definedName name="_xlnm.Print_Area" localSheetId="6">'пр.7 публ. 23'!$A$1:$I$48</definedName>
    <definedName name="_xlnm.Print_Area" localSheetId="7">'пр.8 Ист-ки 23'!$A$1:$E$16</definedName>
  </definedNames>
  <calcPr calcId="145621"/>
</workbook>
</file>

<file path=xl/calcChain.xml><?xml version="1.0" encoding="utf-8"?>
<calcChain xmlns="http://schemas.openxmlformats.org/spreadsheetml/2006/main">
  <c r="H45" i="6" l="1"/>
  <c r="H44" i="6" s="1"/>
  <c r="H43" i="6" s="1"/>
  <c r="H42" i="6" s="1"/>
  <c r="H41" i="6"/>
  <c r="H40" i="6" s="1"/>
  <c r="H39" i="6" s="1"/>
  <c r="H38" i="6" s="1"/>
  <c r="H37" i="6" s="1"/>
  <c r="H36" i="6" s="1"/>
  <c r="H35" i="6"/>
  <c r="H34" i="6" s="1"/>
  <c r="H33" i="6" s="1"/>
  <c r="H32" i="6" s="1"/>
  <c r="H31" i="6" s="1"/>
  <c r="H30" i="6" s="1"/>
  <c r="H29" i="6"/>
  <c r="H28" i="6" s="1"/>
  <c r="H27" i="6" s="1"/>
  <c r="H26" i="6" s="1"/>
  <c r="H25" i="6" s="1"/>
  <c r="H24" i="6" s="1"/>
  <c r="H22" i="6"/>
  <c r="H21" i="6" s="1"/>
  <c r="H20" i="6" s="1"/>
  <c r="H19" i="6" s="1"/>
  <c r="H18" i="6" s="1"/>
  <c r="H16" i="6"/>
  <c r="H15" i="6" s="1"/>
  <c r="H14" i="6" s="1"/>
  <c r="H13" i="6" s="1"/>
  <c r="H12" i="6" s="1"/>
  <c r="H17" i="6" s="1"/>
  <c r="H373" i="34"/>
  <c r="H369" i="34"/>
  <c r="H364" i="34"/>
  <c r="H365" i="34" s="1"/>
  <c r="H363" i="34"/>
  <c r="H362" i="34" s="1"/>
  <c r="H361" i="34" s="1"/>
  <c r="H359" i="34"/>
  <c r="H351" i="34"/>
  <c r="H346" i="34"/>
  <c r="H347" i="34" s="1"/>
  <c r="H341" i="34"/>
  <c r="H333" i="34"/>
  <c r="H326" i="34"/>
  <c r="H327" i="34" s="1"/>
  <c r="H319" i="34"/>
  <c r="H315" i="34"/>
  <c r="H312" i="34"/>
  <c r="H313" i="34" s="1"/>
  <c r="H311" i="34"/>
  <c r="H310" i="34" s="1"/>
  <c r="H308" i="34"/>
  <c r="H309" i="34" s="1"/>
  <c r="H301" i="34"/>
  <c r="H298" i="34"/>
  <c r="H299" i="34" s="1"/>
  <c r="H295" i="34"/>
  <c r="H287" i="34"/>
  <c r="H280" i="34"/>
  <c r="H281" i="34" s="1"/>
  <c r="H279" i="34"/>
  <c r="H278" i="34" s="1"/>
  <c r="H277" i="34" s="1"/>
  <c r="H276" i="34" s="1"/>
  <c r="H275" i="34" s="1"/>
  <c r="H273" i="34"/>
  <c r="H266" i="34"/>
  <c r="H267" i="34" s="1"/>
  <c r="H259" i="34"/>
  <c r="H246" i="34"/>
  <c r="H241" i="34"/>
  <c r="H242" i="34" s="1"/>
  <c r="H234" i="34"/>
  <c r="H230" i="34"/>
  <c r="H225" i="34"/>
  <c r="H226" i="34" s="1"/>
  <c r="H216" i="34"/>
  <c r="H212" i="34"/>
  <c r="H208" i="34"/>
  <c r="H201" i="34"/>
  <c r="H202" i="34" s="1"/>
  <c r="H200" i="34"/>
  <c r="H199" i="34" s="1"/>
  <c r="H198" i="34" s="1"/>
  <c r="H197" i="34" s="1"/>
  <c r="H196" i="34" s="1"/>
  <c r="H194" i="34"/>
  <c r="H190" i="34"/>
  <c r="H189" i="34"/>
  <c r="H188" i="34"/>
  <c r="H187" i="34" s="1"/>
  <c r="H185" i="34"/>
  <c r="H186" i="34" s="1"/>
  <c r="H182" i="34"/>
  <c r="H181" i="34"/>
  <c r="H180" i="34"/>
  <c r="H179" i="34" s="1"/>
  <c r="H177" i="34"/>
  <c r="H178" i="34" s="1"/>
  <c r="H174" i="34"/>
  <c r="H173" i="34"/>
  <c r="H172" i="34"/>
  <c r="H171" i="34" s="1"/>
  <c r="H167" i="34"/>
  <c r="H168" i="34" s="1"/>
  <c r="H163" i="34"/>
  <c r="H164" i="34" s="1"/>
  <c r="H158" i="34"/>
  <c r="H159" i="34" s="1"/>
  <c r="H160" i="34" s="1"/>
  <c r="H152" i="34"/>
  <c r="H153" i="34" s="1"/>
  <c r="H151" i="34"/>
  <c r="H150" i="34" s="1"/>
  <c r="H149" i="34" s="1"/>
  <c r="H147" i="34"/>
  <c r="H148" i="34" s="1"/>
  <c r="H143" i="34"/>
  <c r="H144" i="34" s="1"/>
  <c r="H138" i="34"/>
  <c r="H139" i="34" s="1"/>
  <c r="H131" i="34"/>
  <c r="H132" i="34" s="1"/>
  <c r="H126" i="34"/>
  <c r="H127" i="34" s="1"/>
  <c r="H121" i="34"/>
  <c r="H122" i="34" s="1"/>
  <c r="H113" i="34"/>
  <c r="H114" i="34" s="1"/>
  <c r="H107" i="34"/>
  <c r="H108" i="34" s="1"/>
  <c r="H99" i="34"/>
  <c r="H100" i="34" s="1"/>
  <c r="H91" i="34"/>
  <c r="H92" i="34" s="1"/>
  <c r="H84" i="34"/>
  <c r="H85" i="34" s="1"/>
  <c r="H81" i="34"/>
  <c r="H82" i="34" s="1"/>
  <c r="H75" i="34"/>
  <c r="H74" i="34"/>
  <c r="H73" i="34"/>
  <c r="H72" i="34" s="1"/>
  <c r="H71" i="34" s="1"/>
  <c r="H70" i="34" s="1"/>
  <c r="H68" i="34"/>
  <c r="H69" i="34" s="1"/>
  <c r="H65" i="34"/>
  <c r="H64" i="34"/>
  <c r="H63" i="34"/>
  <c r="H62" i="34" s="1"/>
  <c r="H51" i="34"/>
  <c r="H52" i="34" s="1"/>
  <c r="H43" i="34"/>
  <c r="H44" i="34" s="1"/>
  <c r="H40" i="34"/>
  <c r="H41" i="34" s="1"/>
  <c r="H39" i="34"/>
  <c r="H34" i="34"/>
  <c r="H35" i="34" s="1"/>
  <c r="H31" i="34"/>
  <c r="H32" i="34" s="1"/>
  <c r="H27" i="34"/>
  <c r="H28" i="34" s="1"/>
  <c r="H18" i="34"/>
  <c r="H19" i="34" s="1"/>
  <c r="H17" i="34"/>
  <c r="H15" i="34"/>
  <c r="H16" i="34" s="1"/>
  <c r="H1099" i="5"/>
  <c r="H1091" i="5"/>
  <c r="H1092" i="5" s="1"/>
  <c r="H1067" i="5"/>
  <c r="H1068" i="5" s="1"/>
  <c r="H1061" i="5"/>
  <c r="H1062" i="5" s="1"/>
  <c r="H1053" i="5"/>
  <c r="H1054" i="5" s="1"/>
  <c r="H1050" i="5"/>
  <c r="H1042" i="5"/>
  <c r="H1040" i="5"/>
  <c r="H1039" i="5"/>
  <c r="H1038" i="5"/>
  <c r="H1036" i="5"/>
  <c r="H1034" i="5"/>
  <c r="H1033" i="5"/>
  <c r="H1032" i="5"/>
  <c r="H1025" i="5"/>
  <c r="H1026" i="5" s="1"/>
  <c r="H1016" i="5"/>
  <c r="H1010" i="5"/>
  <c r="H1009" i="5"/>
  <c r="H1008" i="5"/>
  <c r="H1007" i="5" s="1"/>
  <c r="H1006" i="5" s="1"/>
  <c r="H1005" i="5" s="1"/>
  <c r="H1004" i="5" s="1"/>
  <c r="H998" i="5"/>
  <c r="H985" i="5"/>
  <c r="H986" i="5" s="1"/>
  <c r="H978" i="5"/>
  <c r="H972" i="5"/>
  <c r="H967" i="5"/>
  <c r="H968" i="5" s="1"/>
  <c r="H962" i="5"/>
  <c r="H961" i="5"/>
  <c r="H960" i="5"/>
  <c r="H959" i="5" s="1"/>
  <c r="H957" i="5"/>
  <c r="H958" i="5" s="1"/>
  <c r="H951" i="5"/>
  <c r="H952" i="5" s="1"/>
  <c r="H948" i="5"/>
  <c r="H947" i="5"/>
  <c r="H946" i="5"/>
  <c r="H945" i="5" s="1"/>
  <c r="H942" i="5"/>
  <c r="H938" i="5"/>
  <c r="H937" i="5"/>
  <c r="H936" i="5"/>
  <c r="H935" i="5" s="1"/>
  <c r="H934" i="5" s="1"/>
  <c r="H930" i="5"/>
  <c r="H918" i="5"/>
  <c r="H914" i="5"/>
  <c r="H910" i="5"/>
  <c r="H906" i="5"/>
  <c r="H902" i="5"/>
  <c r="H898" i="5"/>
  <c r="H894" i="5"/>
  <c r="H895" i="5" s="1"/>
  <c r="H893" i="5"/>
  <c r="H892" i="5" s="1"/>
  <c r="H882" i="5"/>
  <c r="H883" i="5" s="1"/>
  <c r="H881" i="5"/>
  <c r="H880" i="5" s="1"/>
  <c r="H879" i="5" s="1"/>
  <c r="H878" i="5" s="1"/>
  <c r="H877" i="5" s="1"/>
  <c r="H875" i="5"/>
  <c r="H868" i="5"/>
  <c r="H869" i="5" s="1"/>
  <c r="H867" i="5"/>
  <c r="H866" i="5" s="1"/>
  <c r="H865" i="5" s="1"/>
  <c r="H864" i="5" s="1"/>
  <c r="H863" i="5" s="1"/>
  <c r="H861" i="5"/>
  <c r="H854" i="5"/>
  <c r="H855" i="5" s="1"/>
  <c r="H847" i="5"/>
  <c r="H840" i="5"/>
  <c r="H841" i="5" s="1"/>
  <c r="H833" i="5"/>
  <c r="H825" i="5"/>
  <c r="H812" i="5"/>
  <c r="H813" i="5" s="1"/>
  <c r="H811" i="5"/>
  <c r="H810" i="5" s="1"/>
  <c r="H809" i="5" s="1"/>
  <c r="H807" i="5"/>
  <c r="H800" i="5"/>
  <c r="H801" i="5" s="1"/>
  <c r="H793" i="5"/>
  <c r="H782" i="5"/>
  <c r="H783" i="5" s="1"/>
  <c r="H781" i="5"/>
  <c r="H780" i="5" s="1"/>
  <c r="H778" i="5"/>
  <c r="H779" i="5" s="1"/>
  <c r="H767" i="5"/>
  <c r="H761" i="5"/>
  <c r="H760" i="5"/>
  <c r="H759" i="5"/>
  <c r="H758" i="5" s="1"/>
  <c r="H756" i="5"/>
  <c r="H757" i="5" s="1"/>
  <c r="H749" i="5"/>
  <c r="H748" i="5"/>
  <c r="H747" i="5"/>
  <c r="H746" i="5" s="1"/>
  <c r="H745" i="5" s="1"/>
  <c r="H743" i="5"/>
  <c r="H739" i="5"/>
  <c r="H733" i="5"/>
  <c r="H729" i="5"/>
  <c r="H728" i="5"/>
  <c r="H727" i="5"/>
  <c r="H726" i="5" s="1"/>
  <c r="H725" i="5" s="1"/>
  <c r="H723" i="5"/>
  <c r="H717" i="5"/>
  <c r="H711" i="5"/>
  <c r="H693" i="5"/>
  <c r="H692" i="5" s="1"/>
  <c r="H690" i="5"/>
  <c r="H683" i="5"/>
  <c r="H684" i="5" s="1"/>
  <c r="H680" i="5"/>
  <c r="H679" i="5"/>
  <c r="H678" i="5"/>
  <c r="H677" i="5" s="1"/>
  <c r="H676" i="5" s="1"/>
  <c r="H675" i="5" s="1"/>
  <c r="H674" i="5" s="1"/>
  <c r="H672" i="5"/>
  <c r="H665" i="5"/>
  <c r="H666" i="5" s="1"/>
  <c r="H662" i="5"/>
  <c r="H658" i="5"/>
  <c r="H652" i="5"/>
  <c r="H645" i="5"/>
  <c r="H646" i="5" s="1"/>
  <c r="H639" i="5"/>
  <c r="H640" i="5" s="1"/>
  <c r="H638" i="5"/>
  <c r="H637" i="5" s="1"/>
  <c r="H635" i="5"/>
  <c r="H636" i="5" s="1"/>
  <c r="H631" i="5"/>
  <c r="H632" i="5" s="1"/>
  <c r="H625" i="5"/>
  <c r="H626" i="5" s="1"/>
  <c r="H624" i="5"/>
  <c r="H623" i="5" s="1"/>
  <c r="H622" i="5" s="1"/>
  <c r="H621" i="5" s="1"/>
  <c r="H618" i="5"/>
  <c r="H610" i="5"/>
  <c r="H606" i="5"/>
  <c r="H598" i="5"/>
  <c r="H597" i="5"/>
  <c r="H596" i="5"/>
  <c r="H594" i="5"/>
  <c r="H590" i="5"/>
  <c r="H583" i="5"/>
  <c r="H584" i="5" s="1"/>
  <c r="H582" i="5"/>
  <c r="H581" i="5" s="1"/>
  <c r="H580" i="5" s="1"/>
  <c r="H579" i="5" s="1"/>
  <c r="H577" i="5"/>
  <c r="H578" i="5" s="1"/>
  <c r="H574" i="5"/>
  <c r="H573" i="5"/>
  <c r="H572" i="5"/>
  <c r="H571" i="5" s="1"/>
  <c r="H568" i="5"/>
  <c r="H567" i="5"/>
  <c r="H566" i="5"/>
  <c r="H565" i="5" s="1"/>
  <c r="H563" i="5"/>
  <c r="H564" i="5" s="1"/>
  <c r="H560" i="5"/>
  <c r="H557" i="5"/>
  <c r="H558" i="5" s="1"/>
  <c r="H552" i="5"/>
  <c r="H551" i="5"/>
  <c r="H550" i="5"/>
  <c r="H548" i="5"/>
  <c r="H544" i="5"/>
  <c r="H541" i="5"/>
  <c r="H542" i="5" s="1"/>
  <c r="H538" i="5"/>
  <c r="H534" i="5"/>
  <c r="H528" i="5"/>
  <c r="H529" i="5" s="1"/>
  <c r="H524" i="5"/>
  <c r="H525" i="5" s="1"/>
  <c r="H522" i="5"/>
  <c r="H521" i="5"/>
  <c r="H520" i="5"/>
  <c r="H518" i="5"/>
  <c r="H519" i="5" s="1"/>
  <c r="H510" i="5"/>
  <c r="H511" i="5" s="1"/>
  <c r="H503" i="5"/>
  <c r="H504" i="5" s="1"/>
  <c r="H496" i="5"/>
  <c r="H497" i="5" s="1"/>
  <c r="H493" i="5"/>
  <c r="H494" i="5" s="1"/>
  <c r="H486" i="5"/>
  <c r="H487" i="5" s="1"/>
  <c r="H481" i="5"/>
  <c r="H482" i="5" s="1"/>
  <c r="H474" i="5"/>
  <c r="H475" i="5" s="1"/>
  <c r="H469" i="5"/>
  <c r="H470" i="5" s="1"/>
  <c r="H466" i="5"/>
  <c r="H465" i="5"/>
  <c r="H464" i="5"/>
  <c r="H463" i="5" s="1"/>
  <c r="H454" i="5"/>
  <c r="H455" i="5" s="1"/>
  <c r="H450" i="5"/>
  <c r="H451" i="5" s="1"/>
  <c r="H446" i="5"/>
  <c r="H447" i="5" s="1"/>
  <c r="H441" i="5"/>
  <c r="H442" i="5" s="1"/>
  <c r="H438" i="5"/>
  <c r="H437" i="5"/>
  <c r="H436" i="5"/>
  <c r="H435" i="5" s="1"/>
  <c r="H430" i="5"/>
  <c r="H431" i="5" s="1"/>
  <c r="H426" i="5"/>
  <c r="H427" i="5" s="1"/>
  <c r="H421" i="5"/>
  <c r="H422" i="5" s="1"/>
  <c r="H418" i="5"/>
  <c r="H417" i="5"/>
  <c r="H416" i="5"/>
  <c r="H415" i="5" s="1"/>
  <c r="H413" i="5"/>
  <c r="H414" i="5" s="1"/>
  <c r="H406" i="5"/>
  <c r="H405" i="5"/>
  <c r="H404" i="5"/>
  <c r="H403" i="5" s="1"/>
  <c r="H402" i="5" s="1"/>
  <c r="H401" i="5" s="1"/>
  <c r="H400" i="5" s="1"/>
  <c r="H398" i="5"/>
  <c r="H394" i="5"/>
  <c r="H391" i="5"/>
  <c r="H392" i="5" s="1"/>
  <c r="H386" i="5"/>
  <c r="H379" i="5"/>
  <c r="H380" i="5" s="1"/>
  <c r="H371" i="5"/>
  <c r="H372" i="5" s="1"/>
  <c r="H364" i="5"/>
  <c r="H363" i="5"/>
  <c r="H362" i="5"/>
  <c r="H361" i="5" s="1"/>
  <c r="H360" i="5" s="1"/>
  <c r="H359" i="5" s="1"/>
  <c r="H358" i="5" s="1"/>
  <c r="H356" i="5"/>
  <c r="H349" i="5"/>
  <c r="H350" i="5" s="1"/>
  <c r="H342" i="5"/>
  <c r="H332" i="5"/>
  <c r="H319" i="5"/>
  <c r="H315" i="5"/>
  <c r="H314" i="5"/>
  <c r="H313" i="5"/>
  <c r="H312" i="5" s="1"/>
  <c r="H311" i="5" s="1"/>
  <c r="H307" i="5"/>
  <c r="H303" i="5"/>
  <c r="H299" i="5"/>
  <c r="H298" i="5"/>
  <c r="H297" i="5"/>
  <c r="H296" i="5" s="1"/>
  <c r="H289" i="5"/>
  <c r="H285" i="5"/>
  <c r="H281" i="5"/>
  <c r="H275" i="5"/>
  <c r="H274" i="5"/>
  <c r="H273" i="5"/>
  <c r="H272" i="5" s="1"/>
  <c r="H271" i="5" s="1"/>
  <c r="H270" i="5" s="1"/>
  <c r="H269" i="5" s="1"/>
  <c r="H267" i="5"/>
  <c r="H263" i="5"/>
  <c r="H262" i="5"/>
  <c r="H261" i="5"/>
  <c r="H260" i="5" s="1"/>
  <c r="H258" i="5"/>
  <c r="H259" i="5" s="1"/>
  <c r="H255" i="5"/>
  <c r="H254" i="5"/>
  <c r="H253" i="5"/>
  <c r="H252" i="5" s="1"/>
  <c r="H250" i="5"/>
  <c r="H251" i="5" s="1"/>
  <c r="H247" i="5"/>
  <c r="H246" i="5"/>
  <c r="H245" i="5"/>
  <c r="H244" i="5" s="1"/>
  <c r="H241" i="5"/>
  <c r="H240" i="5"/>
  <c r="H239" i="5"/>
  <c r="H238" i="5" s="1"/>
  <c r="H236" i="5"/>
  <c r="H237" i="5" s="1"/>
  <c r="H231" i="5"/>
  <c r="H225" i="5"/>
  <c r="H221" i="5"/>
  <c r="H220" i="5"/>
  <c r="H219" i="5"/>
  <c r="H218" i="5" s="1"/>
  <c r="H216" i="5"/>
  <c r="H217" i="5" s="1"/>
  <c r="H211" i="5"/>
  <c r="H204" i="5"/>
  <c r="H205" i="5" s="1"/>
  <c r="H198" i="5"/>
  <c r="H199" i="5" s="1"/>
  <c r="H193" i="5"/>
  <c r="H189" i="5"/>
  <c r="H184" i="5"/>
  <c r="H185" i="5" s="1"/>
  <c r="H176" i="5"/>
  <c r="H177" i="5" s="1"/>
  <c r="H171" i="5"/>
  <c r="H170" i="5"/>
  <c r="H169" i="5"/>
  <c r="H168" i="5" s="1"/>
  <c r="H167" i="5" s="1"/>
  <c r="H166" i="5" s="1"/>
  <c r="H163" i="5"/>
  <c r="H161" i="5"/>
  <c r="H160" i="5"/>
  <c r="H159" i="5"/>
  <c r="H153" i="5"/>
  <c r="H151" i="5"/>
  <c r="H150" i="5"/>
  <c r="H149" i="5"/>
  <c r="H142" i="5"/>
  <c r="H143" i="5" s="1"/>
  <c r="H133" i="5"/>
  <c r="H132" i="5" s="1"/>
  <c r="H130" i="5"/>
  <c r="H131" i="5" s="1"/>
  <c r="H123" i="5"/>
  <c r="H115" i="5"/>
  <c r="H108" i="5"/>
  <c r="H109" i="5" s="1"/>
  <c r="H94" i="5"/>
  <c r="H95" i="5" s="1"/>
  <c r="H87" i="5"/>
  <c r="H86" i="5"/>
  <c r="H85" i="5"/>
  <c r="H84" i="5" s="1"/>
  <c r="H83" i="5" s="1"/>
  <c r="H82" i="5" s="1"/>
  <c r="H81" i="5" s="1"/>
  <c r="H80" i="5" s="1"/>
  <c r="H79" i="5"/>
  <c r="H78" i="5"/>
  <c r="H77" i="5"/>
  <c r="H76" i="5" s="1"/>
  <c r="H75" i="5" s="1"/>
  <c r="H74" i="5" s="1"/>
  <c r="H73" i="5" s="1"/>
  <c r="H71" i="5"/>
  <c r="H68" i="5"/>
  <c r="H69" i="5" s="1"/>
  <c r="H61" i="5"/>
  <c r="H57" i="5"/>
  <c r="H53" i="5"/>
  <c r="H49" i="5"/>
  <c r="H45" i="5"/>
  <c r="H33" i="5"/>
  <c r="H32" i="5"/>
  <c r="H31" i="5"/>
  <c r="H30" i="5" s="1"/>
  <c r="H28" i="5"/>
  <c r="H25" i="5"/>
  <c r="H22" i="5"/>
  <c r="H15" i="5"/>
  <c r="G1274" i="3"/>
  <c r="G1273" i="3"/>
  <c r="G1272" i="3" s="1"/>
  <c r="G1269" i="3"/>
  <c r="G1268" i="3" s="1"/>
  <c r="G1267" i="3" s="1"/>
  <c r="G1266" i="3" s="1"/>
  <c r="G1265" i="3"/>
  <c r="G1264" i="3" s="1"/>
  <c r="G1263" i="3" s="1"/>
  <c r="G1262" i="3"/>
  <c r="G1261" i="3" s="1"/>
  <c r="G1260" i="3"/>
  <c r="G1259" i="3" s="1"/>
  <c r="G1258" i="3"/>
  <c r="G1257" i="3" s="1"/>
  <c r="G1251" i="3"/>
  <c r="G1250" i="3" s="1"/>
  <c r="G1249" i="3"/>
  <c r="G1248" i="3" s="1"/>
  <c r="G1244" i="3"/>
  <c r="G1243" i="3"/>
  <c r="G1242" i="3" s="1"/>
  <c r="G1241" i="3"/>
  <c r="G1240" i="3" s="1"/>
  <c r="G1239" i="3"/>
  <c r="G1238" i="3"/>
  <c r="G1237" i="3"/>
  <c r="G1236" i="3"/>
  <c r="G1235" i="3"/>
  <c r="G1234" i="3"/>
  <c r="G1233" i="3"/>
  <c r="G1232" i="3" s="1"/>
  <c r="G1231" i="3"/>
  <c r="G1230" i="3" s="1"/>
  <c r="G1229" i="3"/>
  <c r="G1228" i="3" s="1"/>
  <c r="G1227" i="3" s="1"/>
  <c r="G1223" i="3"/>
  <c r="G1222" i="3" s="1"/>
  <c r="G1221" i="3" s="1"/>
  <c r="G1220" i="3"/>
  <c r="G1219" i="3" s="1"/>
  <c r="G1218" i="3" s="1"/>
  <c r="G1217" i="3"/>
  <c r="G1216" i="3" s="1"/>
  <c r="G1215" i="3"/>
  <c r="G1214" i="3" s="1"/>
  <c r="G1213" i="3"/>
  <c r="G1209" i="3"/>
  <c r="G1208" i="3" s="1"/>
  <c r="G1207" i="3" s="1"/>
  <c r="G1206" i="3" s="1"/>
  <c r="G1205" i="3"/>
  <c r="G1204" i="3"/>
  <c r="G1203" i="3"/>
  <c r="G1202" i="3" s="1"/>
  <c r="G1201" i="3" s="1"/>
  <c r="G1200" i="3"/>
  <c r="G1199" i="3"/>
  <c r="G1198" i="3" s="1"/>
  <c r="G1197" i="3" s="1"/>
  <c r="G1196" i="3"/>
  <c r="G1195" i="3" s="1"/>
  <c r="G1194" i="3" s="1"/>
  <c r="G1193" i="3"/>
  <c r="G1192" i="3" s="1"/>
  <c r="G1191" i="3" s="1"/>
  <c r="G1187" i="3" s="1"/>
  <c r="G1189" i="3"/>
  <c r="G1188" i="3" s="1"/>
  <c r="G1186" i="3"/>
  <c r="G1185" i="3" s="1"/>
  <c r="G1184" i="3" s="1"/>
  <c r="G1183" i="3"/>
  <c r="G1182" i="3" s="1"/>
  <c r="G1181" i="3" s="1"/>
  <c r="G1177" i="3"/>
  <c r="G1176" i="3" s="1"/>
  <c r="G1175" i="3" s="1"/>
  <c r="G1174" i="3" s="1"/>
  <c r="G1173" i="3" s="1"/>
  <c r="G1172" i="3"/>
  <c r="G1171" i="3" s="1"/>
  <c r="G1170" i="3" s="1"/>
  <c r="G1169" i="3" s="1"/>
  <c r="G1168" i="3" s="1"/>
  <c r="G1167" i="3"/>
  <c r="G1166" i="3" s="1"/>
  <c r="G1165" i="3" s="1"/>
  <c r="G1164" i="3" s="1"/>
  <c r="G1163" i="3"/>
  <c r="G1162" i="3" s="1"/>
  <c r="G1161" i="3" s="1"/>
  <c r="G1160" i="3"/>
  <c r="G1159" i="3"/>
  <c r="G1158" i="3"/>
  <c r="G1157" i="3" s="1"/>
  <c r="G1156" i="3" s="1"/>
  <c r="G1155" i="3"/>
  <c r="G1154" i="3"/>
  <c r="G1153" i="3" s="1"/>
  <c r="G1152" i="3"/>
  <c r="G1151" i="3" s="1"/>
  <c r="G1150" i="3" s="1"/>
  <c r="G1145" i="3"/>
  <c r="G1144" i="3"/>
  <c r="G1143" i="3"/>
  <c r="G1142" i="3"/>
  <c r="G1141" i="3" s="1"/>
  <c r="G1140" i="3" s="1"/>
  <c r="G1139" i="3"/>
  <c r="G1138" i="3" s="1"/>
  <c r="G1137" i="3" s="1"/>
  <c r="G1136" i="3"/>
  <c r="G1135" i="3" s="1"/>
  <c r="G1134" i="3" s="1"/>
  <c r="G1132" i="3"/>
  <c r="G1131" i="3" s="1"/>
  <c r="G1130" i="3" s="1"/>
  <c r="G1129" i="3"/>
  <c r="G1128" i="3" s="1"/>
  <c r="G1127" i="3" s="1"/>
  <c r="G1126" i="3"/>
  <c r="G1125" i="3" s="1"/>
  <c r="G1124" i="3" s="1"/>
  <c r="G1119" i="3"/>
  <c r="G1118" i="3" s="1"/>
  <c r="G1117" i="3" s="1"/>
  <c r="G1116" i="3" s="1"/>
  <c r="G1115" i="3" s="1"/>
  <c r="G1111" i="3"/>
  <c r="G1110" i="3"/>
  <c r="G1109" i="3" s="1"/>
  <c r="G1100" i="3"/>
  <c r="G1099" i="3" s="1"/>
  <c r="G1098" i="3"/>
  <c r="G1097" i="3" s="1"/>
  <c r="G1096" i="3" s="1"/>
  <c r="G1095" i="3"/>
  <c r="G1094" i="3" s="1"/>
  <c r="G1093" i="3"/>
  <c r="G1092" i="3" s="1"/>
  <c r="G1091" i="3" s="1"/>
  <c r="G1090" i="3" s="1"/>
  <c r="G1089" i="3" s="1"/>
  <c r="G1087" i="3"/>
  <c r="G1086" i="3" s="1"/>
  <c r="G1080" i="3"/>
  <c r="G1079" i="3" s="1"/>
  <c r="G1078" i="3" s="1"/>
  <c r="G1077" i="3" s="1"/>
  <c r="G1076" i="3"/>
  <c r="G1075" i="3" s="1"/>
  <c r="G1074" i="3"/>
  <c r="G1070" i="3"/>
  <c r="G1069" i="3" s="1"/>
  <c r="G1068" i="3"/>
  <c r="G1063" i="3"/>
  <c r="G1062" i="3" s="1"/>
  <c r="G1061" i="3" s="1"/>
  <c r="G1060" i="3" s="1"/>
  <c r="G1059" i="3" s="1"/>
  <c r="G1056" i="3"/>
  <c r="G1055" i="3" s="1"/>
  <c r="G1054" i="3" s="1"/>
  <c r="G1053" i="3" s="1"/>
  <c r="G1052" i="3" s="1"/>
  <c r="G1051" i="3" s="1"/>
  <c r="G1049" i="3"/>
  <c r="G1048" i="3" s="1"/>
  <c r="G1047" i="3" s="1"/>
  <c r="G1045" i="3" s="1"/>
  <c r="G1044" i="3"/>
  <c r="G1043" i="3" s="1"/>
  <c r="G1042" i="3" s="1"/>
  <c r="G1041" i="3" s="1"/>
  <c r="G1040" i="3" s="1"/>
  <c r="G1039" i="3" s="1"/>
  <c r="G1038" i="3"/>
  <c r="G1037" i="3" s="1"/>
  <c r="G1036" i="3" s="1"/>
  <c r="G1035" i="3"/>
  <c r="G1034" i="3"/>
  <c r="G1033" i="3" s="1"/>
  <c r="G1030" i="3"/>
  <c r="G1029" i="3" s="1"/>
  <c r="G1028" i="3"/>
  <c r="G1027" i="3" s="1"/>
  <c r="G1025" i="3"/>
  <c r="G1024" i="3" s="1"/>
  <c r="G1023" i="3" s="1"/>
  <c r="G1020" i="3"/>
  <c r="G1019" i="3" s="1"/>
  <c r="G1018" i="3" s="1"/>
  <c r="G1017" i="3"/>
  <c r="G1016" i="3" s="1"/>
  <c r="G1015" i="3" s="1"/>
  <c r="G1011" i="3"/>
  <c r="G1010" i="3" s="1"/>
  <c r="G1009" i="3" s="1"/>
  <c r="G1008" i="3"/>
  <c r="G1007" i="3" s="1"/>
  <c r="G1006" i="3"/>
  <c r="G1005" i="3" s="1"/>
  <c r="G1004" i="3"/>
  <c r="G1003" i="3" s="1"/>
  <c r="G1002" i="3" s="1"/>
  <c r="G998" i="3"/>
  <c r="G997" i="3" s="1"/>
  <c r="G996" i="3" s="1"/>
  <c r="G995" i="3"/>
  <c r="G994" i="3"/>
  <c r="G993" i="3" s="1"/>
  <c r="G990" i="3"/>
  <c r="G989" i="3" s="1"/>
  <c r="G988" i="3"/>
  <c r="G987" i="3"/>
  <c r="G986" i="3"/>
  <c r="G985" i="3" s="1"/>
  <c r="G984" i="3"/>
  <c r="G973" i="3"/>
  <c r="G972" i="3"/>
  <c r="G971" i="3" s="1"/>
  <c r="G970" i="3"/>
  <c r="G969" i="3" s="1"/>
  <c r="G968" i="3"/>
  <c r="G966" i="3"/>
  <c r="G965" i="3" s="1"/>
  <c r="G964" i="3"/>
  <c r="G963" i="3" s="1"/>
  <c r="G958" i="3"/>
  <c r="G957" i="3" s="1"/>
  <c r="G956" i="3"/>
  <c r="G955" i="3"/>
  <c r="G954" i="3"/>
  <c r="G953" i="3" s="1"/>
  <c r="G952" i="3" s="1"/>
  <c r="G951" i="3"/>
  <c r="G950" i="3"/>
  <c r="G949" i="3" s="1"/>
  <c r="G948" i="3" s="1"/>
  <c r="G947" i="3"/>
  <c r="G946" i="3" s="1"/>
  <c r="G945" i="3"/>
  <c r="G944" i="3" s="1"/>
  <c r="G942" i="3"/>
  <c r="G941" i="3" s="1"/>
  <c r="G940" i="3" s="1"/>
  <c r="G938" i="3"/>
  <c r="G937" i="3" s="1"/>
  <c r="G936" i="3" s="1"/>
  <c r="G935" i="3"/>
  <c r="G934" i="3" s="1"/>
  <c r="G933" i="3" s="1"/>
  <c r="G932" i="3"/>
  <c r="G931" i="3" s="1"/>
  <c r="G930" i="3" s="1"/>
  <c r="G928" i="3"/>
  <c r="G927" i="3" s="1"/>
  <c r="G926" i="3" s="1"/>
  <c r="G925" i="3"/>
  <c r="G924" i="3" s="1"/>
  <c r="G923" i="3" s="1"/>
  <c r="G922" i="3"/>
  <c r="G921" i="3" s="1"/>
  <c r="G920" i="3" s="1"/>
  <c r="G919" i="3"/>
  <c r="G918" i="3" s="1"/>
  <c r="G913" i="3"/>
  <c r="G912" i="3" s="1"/>
  <c r="G911" i="3"/>
  <c r="G910" i="3" s="1"/>
  <c r="G909" i="3" s="1"/>
  <c r="G908" i="3"/>
  <c r="G907" i="3" s="1"/>
  <c r="G906" i="3" s="1"/>
  <c r="G905" i="3"/>
  <c r="G904" i="3"/>
  <c r="G903" i="3"/>
  <c r="G902" i="3"/>
  <c r="G901" i="3"/>
  <c r="G900" i="3"/>
  <c r="G899" i="3" s="1"/>
  <c r="G898" i="3"/>
  <c r="G897" i="3" s="1"/>
  <c r="G896" i="3" s="1"/>
  <c r="G889" i="3"/>
  <c r="G888" i="3" s="1"/>
  <c r="G885" i="3"/>
  <c r="G884" i="3"/>
  <c r="G883" i="3" s="1"/>
  <c r="G882" i="3" s="1"/>
  <c r="G880" i="3"/>
  <c r="G879" i="3" s="1"/>
  <c r="G878" i="3" s="1"/>
  <c r="G877" i="3" s="1"/>
  <c r="G876" i="3"/>
  <c r="G875" i="3" s="1"/>
  <c r="G874" i="3" s="1"/>
  <c r="G873" i="3"/>
  <c r="G872" i="3"/>
  <c r="G871" i="3"/>
  <c r="G870" i="3"/>
  <c r="G869" i="3"/>
  <c r="G868" i="3"/>
  <c r="G867" i="3" s="1"/>
  <c r="G866" i="3"/>
  <c r="G865" i="3" s="1"/>
  <c r="G864" i="3" s="1"/>
  <c r="G861" i="3"/>
  <c r="G860" i="3"/>
  <c r="G859" i="3" s="1"/>
  <c r="G858" i="3"/>
  <c r="G857" i="3" s="1"/>
  <c r="G856" i="3"/>
  <c r="G855" i="3"/>
  <c r="G854" i="3"/>
  <c r="G853" i="3" s="1"/>
  <c r="G852" i="3"/>
  <c r="G851" i="3" s="1"/>
  <c r="G850" i="3"/>
  <c r="G849" i="3"/>
  <c r="G848" i="3"/>
  <c r="G847" i="3"/>
  <c r="G846" i="3"/>
  <c r="G845" i="3"/>
  <c r="G844" i="3"/>
  <c r="G843" i="3" s="1"/>
  <c r="G842" i="3"/>
  <c r="G841" i="3" s="1"/>
  <c r="G840" i="3"/>
  <c r="G839" i="3" s="1"/>
  <c r="G838" i="3" s="1"/>
  <c r="G837" i="3" s="1"/>
  <c r="G836" i="3" s="1"/>
  <c r="G834" i="3"/>
  <c r="G833" i="3" s="1"/>
  <c r="G832" i="3"/>
  <c r="G831" i="3" s="1"/>
  <c r="G830" i="3"/>
  <c r="G829" i="3" s="1"/>
  <c r="G828" i="3"/>
  <c r="G824" i="3"/>
  <c r="G823" i="3" s="1"/>
  <c r="G822" i="3" s="1"/>
  <c r="G821" i="3"/>
  <c r="G820" i="3" s="1"/>
  <c r="G819" i="3" s="1"/>
  <c r="G811" i="3"/>
  <c r="G810" i="3"/>
  <c r="G809" i="3" s="1"/>
  <c r="G808" i="3"/>
  <c r="G807" i="3" s="1"/>
  <c r="G806" i="3" s="1"/>
  <c r="G803" i="3"/>
  <c r="G802" i="3" s="1"/>
  <c r="G801" i="3" s="1"/>
  <c r="G800" i="3" s="1"/>
  <c r="G799" i="3" s="1"/>
  <c r="G798" i="3"/>
  <c r="G797" i="3" s="1"/>
  <c r="G796" i="3" s="1"/>
  <c r="G795" i="3" s="1"/>
  <c r="G794" i="3"/>
  <c r="G793" i="3" s="1"/>
  <c r="G792" i="3" s="1"/>
  <c r="G791" i="3" s="1"/>
  <c r="G790" i="3"/>
  <c r="G789" i="3" s="1"/>
  <c r="G788" i="3"/>
  <c r="G787" i="3" s="1"/>
  <c r="G786" i="3"/>
  <c r="G785" i="3"/>
  <c r="G784" i="3"/>
  <c r="G783" i="3" s="1"/>
  <c r="G782" i="3" s="1"/>
  <c r="G781" i="3"/>
  <c r="G780" i="3"/>
  <c r="G779" i="3" s="1"/>
  <c r="G778" i="3"/>
  <c r="G777" i="3" s="1"/>
  <c r="G776" i="3" s="1"/>
  <c r="G775" i="3"/>
  <c r="G774" i="3" s="1"/>
  <c r="G773" i="3" s="1"/>
  <c r="G772" i="3"/>
  <c r="G771" i="3" s="1"/>
  <c r="G770" i="3"/>
  <c r="G769" i="3" s="1"/>
  <c r="G768" i="3"/>
  <c r="G767" i="3" s="1"/>
  <c r="G766" i="3" s="1"/>
  <c r="G759" i="3"/>
  <c r="G758" i="3"/>
  <c r="G757" i="3" s="1"/>
  <c r="G756" i="3"/>
  <c r="G755" i="3" s="1"/>
  <c r="G754" i="3" s="1"/>
  <c r="G752" i="3"/>
  <c r="G751" i="3" s="1"/>
  <c r="G750" i="3" s="1"/>
  <c r="G749" i="3" s="1"/>
  <c r="G748" i="3"/>
  <c r="G747" i="3" s="1"/>
  <c r="G746" i="3" s="1"/>
  <c r="G745" i="3" s="1"/>
  <c r="G744" i="3"/>
  <c r="G743" i="3" s="1"/>
  <c r="G742" i="3" s="1"/>
  <c r="G741" i="3"/>
  <c r="G740" i="3"/>
  <c r="G739" i="3" s="1"/>
  <c r="G735" i="3"/>
  <c r="G734" i="3"/>
  <c r="G733" i="3" s="1"/>
  <c r="G732" i="3" s="1"/>
  <c r="G731" i="3" s="1"/>
  <c r="G730" i="3"/>
  <c r="G729" i="3" s="1"/>
  <c r="G728" i="3" s="1"/>
  <c r="G727" i="3" s="1"/>
  <c r="G726" i="3" s="1"/>
  <c r="G725" i="3"/>
  <c r="G724" i="3" s="1"/>
  <c r="G723" i="3" s="1"/>
  <c r="G722" i="3"/>
  <c r="G721" i="3"/>
  <c r="G720" i="3"/>
  <c r="G719" i="3" s="1"/>
  <c r="G718" i="3" s="1"/>
  <c r="G717" i="3"/>
  <c r="G716" i="3"/>
  <c r="G715" i="3" s="1"/>
  <c r="G714" i="3" s="1"/>
  <c r="G713" i="3"/>
  <c r="G712" i="3" s="1"/>
  <c r="G711" i="3" s="1"/>
  <c r="G710" i="3" s="1"/>
  <c r="G709" i="3"/>
  <c r="G708" i="3" s="1"/>
  <c r="G707" i="3" s="1"/>
  <c r="G706" i="3" s="1"/>
  <c r="G705" i="3"/>
  <c r="G704" i="3"/>
  <c r="G703" i="3" s="1"/>
  <c r="G702" i="3" s="1"/>
  <c r="G701" i="3"/>
  <c r="G700" i="3"/>
  <c r="G699" i="3" s="1"/>
  <c r="G694" i="3"/>
  <c r="G690" i="3" s="1"/>
  <c r="G689" i="3" s="1"/>
  <c r="G693" i="3"/>
  <c r="G692" i="3"/>
  <c r="G691" i="3" s="1"/>
  <c r="G688" i="3"/>
  <c r="G687" i="3" s="1"/>
  <c r="G686" i="3" s="1"/>
  <c r="G685" i="3"/>
  <c r="G684" i="3" s="1"/>
  <c r="G683" i="3" s="1"/>
  <c r="G682" i="3"/>
  <c r="G681" i="3" s="1"/>
  <c r="G680" i="3" s="1"/>
  <c r="G678" i="3"/>
  <c r="G677" i="3" s="1"/>
  <c r="G676" i="3" s="1"/>
  <c r="G675" i="3"/>
  <c r="G674" i="3" s="1"/>
  <c r="G673" i="3" s="1"/>
  <c r="G671" i="3"/>
  <c r="G670" i="3" s="1"/>
  <c r="G669" i="3" s="1"/>
  <c r="G668" i="3"/>
  <c r="G667" i="3" s="1"/>
  <c r="G666" i="3" s="1"/>
  <c r="G662" i="3"/>
  <c r="G661" i="3" s="1"/>
  <c r="G660" i="3" s="1"/>
  <c r="G659" i="3" s="1"/>
  <c r="G658" i="3" s="1"/>
  <c r="G657" i="3"/>
  <c r="G656" i="3"/>
  <c r="G655" i="3" s="1"/>
  <c r="G654" i="3" s="1"/>
  <c r="G653" i="3" s="1"/>
  <c r="G652" i="3"/>
  <c r="G651" i="3" s="1"/>
  <c r="G650" i="3" s="1"/>
  <c r="G649" i="3" s="1"/>
  <c r="G648" i="3"/>
  <c r="G647" i="3" s="1"/>
  <c r="G646" i="3" s="1"/>
  <c r="G645" i="3" s="1"/>
  <c r="G644" i="3"/>
  <c r="G643" i="3" s="1"/>
  <c r="G642" i="3" s="1"/>
  <c r="G641" i="3"/>
  <c r="G640" i="3" s="1"/>
  <c r="G639" i="3" s="1"/>
  <c r="G638" i="3"/>
  <c r="G637" i="3" s="1"/>
  <c r="G636" i="3" s="1"/>
  <c r="G634" i="3"/>
  <c r="G633" i="3" s="1"/>
  <c r="G632" i="3" s="1"/>
  <c r="G631" i="3"/>
  <c r="G630" i="3" s="1"/>
  <c r="G629" i="3" s="1"/>
  <c r="G628" i="3"/>
  <c r="G627" i="3" s="1"/>
  <c r="G626" i="3" s="1"/>
  <c r="G624" i="3"/>
  <c r="G623" i="3" s="1"/>
  <c r="G622" i="3" s="1"/>
  <c r="G621" i="3" s="1"/>
  <c r="G620" i="3"/>
  <c r="G619" i="3" s="1"/>
  <c r="G618" i="3" s="1"/>
  <c r="G617" i="3" s="1"/>
  <c r="G606" i="3"/>
  <c r="G605" i="3" s="1"/>
  <c r="G604" i="3" s="1"/>
  <c r="G603" i="3" s="1"/>
  <c r="G602" i="3" s="1"/>
  <c r="G601" i="3"/>
  <c r="G600" i="3"/>
  <c r="G599" i="3" s="1"/>
  <c r="G598" i="3"/>
  <c r="G597" i="3" s="1"/>
  <c r="G596" i="3"/>
  <c r="G595" i="3"/>
  <c r="G594" i="3"/>
  <c r="G593" i="3"/>
  <c r="G592" i="3"/>
  <c r="G591" i="3" s="1"/>
  <c r="G582" i="3"/>
  <c r="G581" i="3" s="1"/>
  <c r="G580" i="3" s="1"/>
  <c r="G579" i="3"/>
  <c r="G578" i="3" s="1"/>
  <c r="G577" i="3" s="1"/>
  <c r="G576" i="3"/>
  <c r="G575" i="3" s="1"/>
  <c r="G574" i="3"/>
  <c r="G573" i="3" s="1"/>
  <c r="G572" i="3"/>
  <c r="G571" i="3" s="1"/>
  <c r="G570" i="3" s="1"/>
  <c r="G569" i="3"/>
  <c r="G568" i="3"/>
  <c r="G567" i="3" s="1"/>
  <c r="G564" i="3"/>
  <c r="G563" i="3" s="1"/>
  <c r="G562" i="3" s="1"/>
  <c r="G561" i="3"/>
  <c r="G560" i="3" s="1"/>
  <c r="G559" i="3" s="1"/>
  <c r="G558" i="3"/>
  <c r="G557" i="3" s="1"/>
  <c r="G556" i="3" s="1"/>
  <c r="G555" i="3"/>
  <c r="G554" i="3" s="1"/>
  <c r="G553" i="3"/>
  <c r="G552" i="3" s="1"/>
  <c r="G551" i="3" s="1"/>
  <c r="G549" i="3"/>
  <c r="G548" i="3"/>
  <c r="G547" i="3"/>
  <c r="G546" i="3"/>
  <c r="G545" i="3"/>
  <c r="G544" i="3" s="1"/>
  <c r="G540" i="3"/>
  <c r="G539" i="3" s="1"/>
  <c r="G538" i="3" s="1"/>
  <c r="G533" i="3"/>
  <c r="G532" i="3" s="1"/>
  <c r="G531" i="3" s="1"/>
  <c r="G530" i="3" s="1"/>
  <c r="G528" i="3"/>
  <c r="G527" i="3" s="1"/>
  <c r="G526" i="3" s="1"/>
  <c r="G525" i="3" s="1"/>
  <c r="G524" i="3"/>
  <c r="G523" i="3" s="1"/>
  <c r="G522" i="3" s="1"/>
  <c r="G521" i="3" s="1"/>
  <c r="G520" i="3"/>
  <c r="G519" i="3"/>
  <c r="G518" i="3" s="1"/>
  <c r="G517" i="3" s="1"/>
  <c r="G516" i="3"/>
  <c r="G515" i="3"/>
  <c r="G514" i="3" s="1"/>
  <c r="G513" i="3" s="1"/>
  <c r="G509" i="3"/>
  <c r="G508" i="3" s="1"/>
  <c r="G507" i="3" s="1"/>
  <c r="G506" i="3"/>
  <c r="G505" i="3" s="1"/>
  <c r="G498" i="3"/>
  <c r="G497" i="3" s="1"/>
  <c r="G496" i="3" s="1"/>
  <c r="G494" i="3"/>
  <c r="G492" i="3"/>
  <c r="G491" i="3"/>
  <c r="G489" i="3"/>
  <c r="G488" i="3" s="1"/>
  <c r="G487" i="3" s="1"/>
  <c r="G484" i="3"/>
  <c r="G483" i="3"/>
  <c r="G482" i="3" s="1"/>
  <c r="G470" i="3"/>
  <c r="G469" i="3" s="1"/>
  <c r="G468" i="3" s="1"/>
  <c r="G467" i="3" s="1"/>
  <c r="G466" i="3"/>
  <c r="G465" i="3" s="1"/>
  <c r="G464" i="3" s="1"/>
  <c r="G463" i="3" s="1"/>
  <c r="G462" i="3"/>
  <c r="G461" i="3" s="1"/>
  <c r="G460" i="3" s="1"/>
  <c r="G459" i="3" s="1"/>
  <c r="G458" i="3"/>
  <c r="G457" i="3" s="1"/>
  <c r="G456" i="3" s="1"/>
  <c r="G455" i="3" s="1"/>
  <c r="G454" i="3"/>
  <c r="G453" i="3" s="1"/>
  <c r="G452" i="3" s="1"/>
  <c r="G451" i="3" s="1"/>
  <c r="G450" i="3"/>
  <c r="G449" i="3" s="1"/>
  <c r="G448" i="3" s="1"/>
  <c r="G447" i="3" s="1"/>
  <c r="G446" i="3"/>
  <c r="G445" i="3" s="1"/>
  <c r="G444" i="3"/>
  <c r="G443" i="3" s="1"/>
  <c r="G440" i="3"/>
  <c r="G439" i="3" s="1"/>
  <c r="G438" i="3" s="1"/>
  <c r="G437" i="3" s="1"/>
  <c r="G435" i="3"/>
  <c r="G434" i="3" s="1"/>
  <c r="G433" i="3" s="1"/>
  <c r="G432" i="3"/>
  <c r="G431" i="3" s="1"/>
  <c r="G430" i="3"/>
  <c r="G429" i="3" s="1"/>
  <c r="G427" i="3"/>
  <c r="G426" i="3" s="1"/>
  <c r="G425" i="3" s="1"/>
  <c r="G424" i="3"/>
  <c r="G423" i="3" s="1"/>
  <c r="G422" i="3"/>
  <c r="G421" i="3" s="1"/>
  <c r="G418" i="3"/>
  <c r="G417" i="3"/>
  <c r="G416" i="3"/>
  <c r="G415" i="3"/>
  <c r="G414" i="3"/>
  <c r="G412" i="3"/>
  <c r="G411" i="3"/>
  <c r="G410" i="3" s="1"/>
  <c r="G409" i="3"/>
  <c r="G408" i="3" s="1"/>
  <c r="G403" i="3"/>
  <c r="G402" i="3" s="1"/>
  <c r="G401" i="3" s="1"/>
  <c r="G400" i="3" s="1"/>
  <c r="G393" i="3"/>
  <c r="G392" i="3"/>
  <c r="G391" i="3"/>
  <c r="G390" i="3"/>
  <c r="G389" i="3" s="1"/>
  <c r="G384" i="3"/>
  <c r="G383" i="3" s="1"/>
  <c r="G382" i="3" s="1"/>
  <c r="G381" i="3" s="1"/>
  <c r="G380" i="3" s="1"/>
  <c r="G379" i="3"/>
  <c r="G378" i="3" s="1"/>
  <c r="G377" i="3" s="1"/>
  <c r="G376" i="3" s="1"/>
  <c r="G375" i="3"/>
  <c r="G374" i="3" s="1"/>
  <c r="G373" i="3" s="1"/>
  <c r="G372" i="3" s="1"/>
  <c r="G367" i="3"/>
  <c r="G366" i="3"/>
  <c r="G365" i="3" s="1"/>
  <c r="G364" i="3" s="1"/>
  <c r="G361" i="3"/>
  <c r="G360" i="3" s="1"/>
  <c r="G359" i="3"/>
  <c r="G358" i="3" s="1"/>
  <c r="G357" i="3" s="1"/>
  <c r="G356" i="3" s="1"/>
  <c r="G355" i="3" s="1"/>
  <c r="G353" i="3"/>
  <c r="G352" i="3"/>
  <c r="G351" i="3" s="1"/>
  <c r="G350" i="3"/>
  <c r="G349" i="3" s="1"/>
  <c r="G348" i="3"/>
  <c r="G347" i="3" s="1"/>
  <c r="G346" i="3"/>
  <c r="G345" i="3" s="1"/>
  <c r="G342" i="3"/>
  <c r="G341" i="3" s="1"/>
  <c r="G340" i="3" s="1"/>
  <c r="G339" i="3" s="1"/>
  <c r="G336" i="3"/>
  <c r="G335" i="3" s="1"/>
  <c r="G334" i="3"/>
  <c r="G333" i="3" s="1"/>
  <c r="G332" i="3" s="1"/>
  <c r="G331" i="3" s="1"/>
  <c r="G330" i="3"/>
  <c r="G329" i="3" s="1"/>
  <c r="G328" i="3" s="1"/>
  <c r="G327" i="3" s="1"/>
  <c r="G319" i="3"/>
  <c r="G318" i="3"/>
  <c r="G317" i="3" s="1"/>
  <c r="G316" i="3" s="1"/>
  <c r="G315" i="3" s="1"/>
  <c r="G303" i="3"/>
  <c r="G302" i="3"/>
  <c r="G301" i="3" s="1"/>
  <c r="G299" i="3"/>
  <c r="G298" i="3"/>
  <c r="G297" i="3" s="1"/>
  <c r="G296" i="3"/>
  <c r="G295" i="3" s="1"/>
  <c r="G294" i="3"/>
  <c r="G293" i="3" s="1"/>
  <c r="G292" i="3"/>
  <c r="G291" i="3" s="1"/>
  <c r="G290" i="3"/>
  <c r="G289" i="3"/>
  <c r="G288" i="3"/>
  <c r="G287" i="3" s="1"/>
  <c r="G286" i="3" s="1"/>
  <c r="G282" i="3"/>
  <c r="G281" i="3" s="1"/>
  <c r="G280" i="3"/>
  <c r="G279" i="3" s="1"/>
  <c r="G278" i="3" s="1"/>
  <c r="G277" i="3" s="1"/>
  <c r="G276" i="3" s="1"/>
  <c r="G275" i="3"/>
  <c r="G274" i="3"/>
  <c r="G273" i="3" s="1"/>
  <c r="G272" i="3" s="1"/>
  <c r="G271" i="3" s="1"/>
  <c r="G270" i="3"/>
  <c r="G269" i="3" s="1"/>
  <c r="G268" i="3"/>
  <c r="G267" i="3" s="1"/>
  <c r="G266" i="3" s="1"/>
  <c r="G265" i="3" s="1"/>
  <c r="G264" i="3" s="1"/>
  <c r="G263" i="3"/>
  <c r="G262" i="3" s="1"/>
  <c r="G261" i="3" s="1"/>
  <c r="G260" i="3"/>
  <c r="G259" i="3" s="1"/>
  <c r="G258" i="3"/>
  <c r="G257" i="3" s="1"/>
  <c r="G256" i="3"/>
  <c r="G255" i="3" s="1"/>
  <c r="G249" i="3"/>
  <c r="G248" i="3"/>
  <c r="G247" i="3" s="1"/>
  <c r="G246" i="3"/>
  <c r="G245" i="3" s="1"/>
  <c r="G244" i="3" s="1"/>
  <c r="G243" i="3"/>
  <c r="G242" i="3" s="1"/>
  <c r="G241" i="3" s="1"/>
  <c r="G240" i="3"/>
  <c r="G239" i="3" s="1"/>
  <c r="G238" i="3" s="1"/>
  <c r="G232" i="3"/>
  <c r="G231" i="3" s="1"/>
  <c r="G230" i="3"/>
  <c r="G229" i="3" s="1"/>
  <c r="G228" i="3"/>
  <c r="G227" i="3" s="1"/>
  <c r="G226" i="3"/>
  <c r="G225" i="3"/>
  <c r="G224" i="3"/>
  <c r="G220" i="3"/>
  <c r="G219" i="3" s="1"/>
  <c r="G218" i="3"/>
  <c r="G214" i="3"/>
  <c r="G213" i="3" s="1"/>
  <c r="G212" i="3" s="1"/>
  <c r="G207" i="3"/>
  <c r="G205" i="3"/>
  <c r="G204" i="3"/>
  <c r="G202" i="3"/>
  <c r="G201" i="3"/>
  <c r="G200" i="3" s="1"/>
  <c r="G199" i="3"/>
  <c r="G198" i="3" s="1"/>
  <c r="G197" i="3" s="1"/>
  <c r="G195" i="3"/>
  <c r="G194" i="3" s="1"/>
  <c r="G193" i="3" s="1"/>
  <c r="G192" i="3"/>
  <c r="G191" i="3" s="1"/>
  <c r="G190" i="3" s="1"/>
  <c r="G189" i="3"/>
  <c r="G188" i="3" s="1"/>
  <c r="G187" i="3" s="1"/>
  <c r="G186" i="3"/>
  <c r="G183" i="3"/>
  <c r="G182" i="3"/>
  <c r="G181" i="3"/>
  <c r="G180" i="3"/>
  <c r="G178" i="3"/>
  <c r="G177" i="3" s="1"/>
  <c r="G176" i="3" s="1"/>
  <c r="G172" i="3"/>
  <c r="G171" i="3" s="1"/>
  <c r="G170" i="3" s="1"/>
  <c r="G169" i="3" s="1"/>
  <c r="G168" i="3" s="1"/>
  <c r="G167" i="3" s="1"/>
  <c r="G166" i="3"/>
  <c r="G165" i="3" s="1"/>
  <c r="G164" i="3"/>
  <c r="G163" i="3"/>
  <c r="G158" i="3"/>
  <c r="G157" i="3"/>
  <c r="G156" i="3" s="1"/>
  <c r="G155" i="3"/>
  <c r="G154" i="3" s="1"/>
  <c r="G153" i="3" s="1"/>
  <c r="G152" i="3"/>
  <c r="G151" i="3" s="1"/>
  <c r="G150" i="3" s="1"/>
  <c r="G149" i="3"/>
  <c r="G148" i="3" s="1"/>
  <c r="G147" i="3"/>
  <c r="G146" i="3" s="1"/>
  <c r="G145" i="3"/>
  <c r="G144" i="3" s="1"/>
  <c r="G141" i="3"/>
  <c r="G140" i="3" s="1"/>
  <c r="G139" i="3" s="1"/>
  <c r="G138" i="3"/>
  <c r="G137" i="3" s="1"/>
  <c r="G136" i="3" s="1"/>
  <c r="G135" i="3"/>
  <c r="G134" i="3" s="1"/>
  <c r="G133" i="3" s="1"/>
  <c r="G132" i="3"/>
  <c r="G131" i="3"/>
  <c r="G128" i="3"/>
  <c r="G127" i="3"/>
  <c r="G122" i="3"/>
  <c r="G121" i="3"/>
  <c r="G120" i="3" s="1"/>
  <c r="G119" i="3" s="1"/>
  <c r="G118" i="3"/>
  <c r="G117" i="3"/>
  <c r="G116" i="3" s="1"/>
  <c r="G115" i="3"/>
  <c r="G114" i="3" s="1"/>
  <c r="G113" i="3"/>
  <c r="G112" i="3" s="1"/>
  <c r="G109" i="3"/>
  <c r="G108" i="3" s="1"/>
  <c r="G107" i="3" s="1"/>
  <c r="G106" i="3" s="1"/>
  <c r="G104" i="3"/>
  <c r="G103" i="3" s="1"/>
  <c r="G102" i="3"/>
  <c r="G101" i="3" s="1"/>
  <c r="G100" i="3" s="1"/>
  <c r="G99" i="3"/>
  <c r="G98" i="3" s="1"/>
  <c r="G97" i="3"/>
  <c r="G96" i="3" s="1"/>
  <c r="G94" i="3"/>
  <c r="G93" i="3" s="1"/>
  <c r="G92" i="3"/>
  <c r="G91" i="3" s="1"/>
  <c r="G89" i="3"/>
  <c r="G88" i="3" s="1"/>
  <c r="G87" i="3" s="1"/>
  <c r="G85" i="3"/>
  <c r="G84" i="3" s="1"/>
  <c r="G83" i="3" s="1"/>
  <c r="G82" i="3"/>
  <c r="G81" i="3" s="1"/>
  <c r="G80" i="3" s="1"/>
  <c r="G79" i="3"/>
  <c r="G78" i="3" s="1"/>
  <c r="G77" i="3" s="1"/>
  <c r="G76" i="3"/>
  <c r="G75" i="3"/>
  <c r="G74" i="3" s="1"/>
  <c r="G73" i="3"/>
  <c r="G72" i="3" s="1"/>
  <c r="G71" i="3"/>
  <c r="G70" i="3" s="1"/>
  <c r="G69" i="3" s="1"/>
  <c r="G68" i="3"/>
  <c r="G67" i="3"/>
  <c r="G64" i="3"/>
  <c r="G63" i="3"/>
  <c r="G62" i="3"/>
  <c r="G61" i="3"/>
  <c r="G56" i="3"/>
  <c r="G55" i="3"/>
  <c r="G54" i="3" s="1"/>
  <c r="G53" i="3"/>
  <c r="G52" i="3" s="1"/>
  <c r="G51" i="3" s="1"/>
  <c r="G50" i="3"/>
  <c r="G49" i="3" s="1"/>
  <c r="G48" i="3" s="1"/>
  <c r="G47" i="3"/>
  <c r="G46" i="3" s="1"/>
  <c r="G45" i="3"/>
  <c r="G44" i="3" s="1"/>
  <c r="G42" i="3"/>
  <c r="G41" i="3" s="1"/>
  <c r="G40" i="3"/>
  <c r="G39" i="3" s="1"/>
  <c r="G38" i="3"/>
  <c r="G37" i="3" s="1"/>
  <c r="G36" i="3" s="1"/>
  <c r="G32" i="3"/>
  <c r="G31" i="3" s="1"/>
  <c r="G30" i="3" s="1"/>
  <c r="G29" i="3"/>
  <c r="G28" i="3" s="1"/>
  <c r="G27" i="3" s="1"/>
  <c r="G26" i="3"/>
  <c r="G25" i="3"/>
  <c r="G24" i="3" s="1"/>
  <c r="G23" i="3" s="1"/>
  <c r="G22" i="3" s="1"/>
  <c r="G16" i="3"/>
  <c r="G15" i="3" s="1"/>
  <c r="G14" i="3" s="1"/>
  <c r="F42" i="3"/>
  <c r="G35" i="3" l="1"/>
  <c r="G34" i="3" s="1"/>
  <c r="G33" i="3" s="1"/>
  <c r="G90" i="3"/>
  <c r="G1133" i="3"/>
  <c r="G1270" i="3"/>
  <c r="G1271" i="3"/>
  <c r="G162" i="3"/>
  <c r="G161" i="3" s="1"/>
  <c r="G160" i="3" s="1"/>
  <c r="G159" i="3" s="1"/>
  <c r="G992" i="3"/>
  <c r="G991" i="3" s="1"/>
  <c r="G43" i="3"/>
  <c r="G95" i="3"/>
  <c r="G543" i="3"/>
  <c r="G542" i="3" s="1"/>
  <c r="G566" i="3"/>
  <c r="G665" i="3"/>
  <c r="G738" i="3"/>
  <c r="G929" i="3"/>
  <c r="G943" i="3"/>
  <c r="G939" i="3" s="1"/>
  <c r="G1046" i="3"/>
  <c r="G1073" i="3"/>
  <c r="G1072" i="3"/>
  <c r="G1071" i="3" s="1"/>
  <c r="G1123" i="3"/>
  <c r="G1180" i="3"/>
  <c r="G1256" i="3"/>
  <c r="G1255" i="3" s="1"/>
  <c r="G1254" i="3" s="1"/>
  <c r="G1253" i="3" s="1"/>
  <c r="G1252" i="3" s="1"/>
  <c r="H23" i="5"/>
  <c r="H21" i="5"/>
  <c r="H29" i="5"/>
  <c r="H27" i="5"/>
  <c r="H93" i="5"/>
  <c r="H92" i="5" s="1"/>
  <c r="H91" i="5" s="1"/>
  <c r="H90" i="5" s="1"/>
  <c r="H89" i="5" s="1"/>
  <c r="H107" i="5"/>
  <c r="H106" i="5" s="1"/>
  <c r="H105" i="5" s="1"/>
  <c r="H104" i="5" s="1"/>
  <c r="H103" i="5" s="1"/>
  <c r="H129" i="5"/>
  <c r="H175" i="5"/>
  <c r="H174" i="5" s="1"/>
  <c r="H173" i="5" s="1"/>
  <c r="H172" i="5" s="1"/>
  <c r="H183" i="5"/>
  <c r="H182" i="5" s="1"/>
  <c r="H181" i="5" s="1"/>
  <c r="H197" i="5"/>
  <c r="H196" i="5" s="1"/>
  <c r="H195" i="5" s="1"/>
  <c r="H203" i="5"/>
  <c r="H202" i="5" s="1"/>
  <c r="H201" i="5" s="1"/>
  <c r="H200" i="5" s="1"/>
  <c r="H215" i="5"/>
  <c r="H214" i="5" s="1"/>
  <c r="H213" i="5" s="1"/>
  <c r="H235" i="5"/>
  <c r="H234" i="5" s="1"/>
  <c r="H249" i="5"/>
  <c r="H248" i="5" s="1"/>
  <c r="H243" i="5" s="1"/>
  <c r="H242" i="5" s="1"/>
  <c r="H257" i="5"/>
  <c r="H256" i="5" s="1"/>
  <c r="H348" i="5"/>
  <c r="H347" i="5" s="1"/>
  <c r="H346" i="5" s="1"/>
  <c r="H345" i="5" s="1"/>
  <c r="H344" i="5" s="1"/>
  <c r="H370" i="5"/>
  <c r="H369" i="5" s="1"/>
  <c r="H368" i="5" s="1"/>
  <c r="H367" i="5" s="1"/>
  <c r="H366" i="5" s="1"/>
  <c r="H365" i="5" s="1"/>
  <c r="H378" i="5"/>
  <c r="H377" i="5" s="1"/>
  <c r="H376" i="5" s="1"/>
  <c r="H375" i="5" s="1"/>
  <c r="H374" i="5" s="1"/>
  <c r="H390" i="5"/>
  <c r="H412" i="5"/>
  <c r="H411" i="5" s="1"/>
  <c r="H410" i="5" s="1"/>
  <c r="H420" i="5"/>
  <c r="H419" i="5" s="1"/>
  <c r="H440" i="5"/>
  <c r="H439" i="5" s="1"/>
  <c r="H468" i="5"/>
  <c r="H467" i="5" s="1"/>
  <c r="H480" i="5"/>
  <c r="H479" i="5" s="1"/>
  <c r="H478" i="5" s="1"/>
  <c r="H492" i="5"/>
  <c r="H502" i="5"/>
  <c r="H501" i="5" s="1"/>
  <c r="H500" i="5" s="1"/>
  <c r="H499" i="5" s="1"/>
  <c r="H498" i="5" s="1"/>
  <c r="H540" i="5"/>
  <c r="H556" i="5"/>
  <c r="H562" i="5"/>
  <c r="H576" i="5"/>
  <c r="H575" i="5" s="1"/>
  <c r="H570" i="5" s="1"/>
  <c r="H569" i="5" s="1"/>
  <c r="G344" i="3"/>
  <c r="G343" i="3" s="1"/>
  <c r="G672" i="3"/>
  <c r="G863" i="3"/>
  <c r="G862" i="3" s="1"/>
  <c r="G1149" i="3"/>
  <c r="G1247" i="3"/>
  <c r="G1246" i="3" s="1"/>
  <c r="G1245" i="3" s="1"/>
  <c r="H67" i="5"/>
  <c r="H634" i="5"/>
  <c r="H633" i="5" s="1"/>
  <c r="H644" i="5"/>
  <c r="H643" i="5" s="1"/>
  <c r="H642" i="5" s="1"/>
  <c r="H641" i="5" s="1"/>
  <c r="H664" i="5"/>
  <c r="H682" i="5"/>
  <c r="H681" i="5" s="1"/>
  <c r="H853" i="5"/>
  <c r="H852" i="5" s="1"/>
  <c r="H851" i="5" s="1"/>
  <c r="H850" i="5" s="1"/>
  <c r="H849" i="5" s="1"/>
  <c r="H944" i="5"/>
  <c r="H83" i="34"/>
  <c r="H125" i="34"/>
  <c r="H124" i="34" s="1"/>
  <c r="H123" i="34" s="1"/>
  <c r="H137" i="34"/>
  <c r="H136" i="34" s="1"/>
  <c r="H135" i="34" s="1"/>
  <c r="H157" i="34"/>
  <c r="H224" i="34"/>
  <c r="H223" i="34" s="1"/>
  <c r="H240" i="34"/>
  <c r="H239" i="34" s="1"/>
  <c r="H238" i="34" s="1"/>
  <c r="H630" i="5"/>
  <c r="H629" i="5" s="1"/>
  <c r="H628" i="5" s="1"/>
  <c r="H627" i="5" s="1"/>
  <c r="H755" i="5"/>
  <c r="H754" i="5" s="1"/>
  <c r="H777" i="5"/>
  <c r="H799" i="5"/>
  <c r="H798" i="5" s="1"/>
  <c r="H797" i="5" s="1"/>
  <c r="H796" i="5" s="1"/>
  <c r="H795" i="5" s="1"/>
  <c r="H839" i="5"/>
  <c r="H838" i="5" s="1"/>
  <c r="H837" i="5" s="1"/>
  <c r="H836" i="5" s="1"/>
  <c r="H835" i="5" s="1"/>
  <c r="H950" i="5"/>
  <c r="H949" i="5" s="1"/>
  <c r="H956" i="5"/>
  <c r="H955" i="5" s="1"/>
  <c r="H954" i="5" s="1"/>
  <c r="H953" i="5" s="1"/>
  <c r="H966" i="5"/>
  <c r="H965" i="5" s="1"/>
  <c r="H964" i="5" s="1"/>
  <c r="H984" i="5"/>
  <c r="H983" i="5" s="1"/>
  <c r="H982" i="5" s="1"/>
  <c r="H981" i="5" s="1"/>
  <c r="H980" i="5" s="1"/>
  <c r="H1024" i="5"/>
  <c r="H1023" i="5" s="1"/>
  <c r="H1052" i="5"/>
  <c r="H1060" i="5"/>
  <c r="H1059" i="5" s="1"/>
  <c r="H1058" i="5" s="1"/>
  <c r="H1057" i="5" s="1"/>
  <c r="H1066" i="5"/>
  <c r="H1065" i="5" s="1"/>
  <c r="H1064" i="5" s="1"/>
  <c r="H1063" i="5" s="1"/>
  <c r="H1090" i="5"/>
  <c r="H1089" i="5" s="1"/>
  <c r="H1088" i="5" s="1"/>
  <c r="H1087" i="5" s="1"/>
  <c r="H1086" i="5" s="1"/>
  <c r="H1085" i="5" s="1"/>
  <c r="H1098" i="5"/>
  <c r="H1100" i="5"/>
  <c r="H33" i="34"/>
  <c r="H67" i="34"/>
  <c r="H66" i="34" s="1"/>
  <c r="H176" i="34"/>
  <c r="H175" i="34" s="1"/>
  <c r="H170" i="34" s="1"/>
  <c r="H169" i="34" s="1"/>
  <c r="H184" i="34"/>
  <c r="H183" i="34" s="1"/>
  <c r="H265" i="34"/>
  <c r="H264" i="34" s="1"/>
  <c r="H263" i="34" s="1"/>
  <c r="H262" i="34" s="1"/>
  <c r="H261" i="34" s="1"/>
  <c r="H297" i="34"/>
  <c r="H307" i="34"/>
  <c r="H306" i="34" s="1"/>
  <c r="H325" i="34"/>
  <c r="H324" i="34" s="1"/>
  <c r="H323" i="34" s="1"/>
  <c r="H322" i="34" s="1"/>
  <c r="H321" i="34" s="1"/>
  <c r="H345" i="34"/>
  <c r="H344" i="34" s="1"/>
  <c r="H343" i="34" s="1"/>
  <c r="G442" i="3"/>
  <c r="G441" i="3" s="1"/>
  <c r="G420" i="3"/>
  <c r="G428" i="3"/>
  <c r="G407" i="3"/>
  <c r="G413" i="3"/>
  <c r="H48" i="6"/>
  <c r="H57" i="34"/>
  <c r="H56" i="34" s="1"/>
  <c r="H55" i="34" s="1"/>
  <c r="H231" i="34"/>
  <c r="H229" i="34"/>
  <c r="H228" i="34" s="1"/>
  <c r="H235" i="34"/>
  <c r="H233" i="34"/>
  <c r="H232" i="34" s="1"/>
  <c r="H227" i="34" s="1"/>
  <c r="H260" i="34"/>
  <c r="H258" i="34"/>
  <c r="H257" i="34" s="1"/>
  <c r="H256" i="34" s="1"/>
  <c r="H274" i="34"/>
  <c r="H272" i="34"/>
  <c r="H271" i="34" s="1"/>
  <c r="H270" i="34" s="1"/>
  <c r="H269" i="34" s="1"/>
  <c r="H268" i="34" s="1"/>
  <c r="H288" i="34"/>
  <c r="H286" i="34"/>
  <c r="H285" i="34" s="1"/>
  <c r="H284" i="34" s="1"/>
  <c r="H283" i="34" s="1"/>
  <c r="H282" i="34" s="1"/>
  <c r="H296" i="34"/>
  <c r="H294" i="34"/>
  <c r="H302" i="34"/>
  <c r="H300" i="34"/>
  <c r="H14" i="34"/>
  <c r="H13" i="34" s="1"/>
  <c r="H12" i="34" s="1"/>
  <c r="H11" i="34" s="1"/>
  <c r="H26" i="34"/>
  <c r="H22" i="34" s="1"/>
  <c r="H30" i="34"/>
  <c r="H29" i="34" s="1"/>
  <c r="H42" i="34"/>
  <c r="H38" i="34" s="1"/>
  <c r="H37" i="34" s="1"/>
  <c r="H36" i="34" s="1"/>
  <c r="H50" i="34"/>
  <c r="H49" i="34" s="1"/>
  <c r="H48" i="34" s="1"/>
  <c r="H47" i="34" s="1"/>
  <c r="H46" i="34" s="1"/>
  <c r="H45" i="34" s="1"/>
  <c r="H80" i="34"/>
  <c r="H90" i="34"/>
  <c r="H89" i="34" s="1"/>
  <c r="H88" i="34" s="1"/>
  <c r="H87" i="34" s="1"/>
  <c r="H86" i="34" s="1"/>
  <c r="H98" i="34"/>
  <c r="H97" i="34" s="1"/>
  <c r="H96" i="34" s="1"/>
  <c r="H95" i="34" s="1"/>
  <c r="H94" i="34" s="1"/>
  <c r="H93" i="34" s="1"/>
  <c r="H106" i="34"/>
  <c r="H105" i="34" s="1"/>
  <c r="H104" i="34" s="1"/>
  <c r="H103" i="34" s="1"/>
  <c r="H102" i="34" s="1"/>
  <c r="H101" i="34" s="1"/>
  <c r="H112" i="34"/>
  <c r="H111" i="34" s="1"/>
  <c r="H110" i="34" s="1"/>
  <c r="H109" i="34" s="1"/>
  <c r="H120" i="34"/>
  <c r="H119" i="34" s="1"/>
  <c r="H118" i="34" s="1"/>
  <c r="H117" i="34" s="1"/>
  <c r="H116" i="34" s="1"/>
  <c r="H130" i="34"/>
  <c r="H129" i="34" s="1"/>
  <c r="H128" i="34" s="1"/>
  <c r="H142" i="34"/>
  <c r="H141" i="34" s="1"/>
  <c r="H140" i="34" s="1"/>
  <c r="H134" i="34" s="1"/>
  <c r="H133" i="34" s="1"/>
  <c r="H146" i="34"/>
  <c r="H145" i="34" s="1"/>
  <c r="H162" i="34"/>
  <c r="H161" i="34" s="1"/>
  <c r="H156" i="34" s="1"/>
  <c r="H166" i="34"/>
  <c r="H165" i="34" s="1"/>
  <c r="H195" i="34"/>
  <c r="H193" i="34"/>
  <c r="H192" i="34" s="1"/>
  <c r="H191" i="34" s="1"/>
  <c r="H209" i="34"/>
  <c r="H207" i="34"/>
  <c r="H206" i="34" s="1"/>
  <c r="H213" i="34"/>
  <c r="H211" i="34"/>
  <c r="H210" i="34" s="1"/>
  <c r="H217" i="34"/>
  <c r="H215" i="34"/>
  <c r="H214" i="34" s="1"/>
  <c r="H247" i="34"/>
  <c r="H245" i="34"/>
  <c r="H244" i="34" s="1"/>
  <c r="H243" i="34" s="1"/>
  <c r="H237" i="34" s="1"/>
  <c r="H236" i="34" s="1"/>
  <c r="H316" i="34"/>
  <c r="H314" i="34"/>
  <c r="H320" i="34"/>
  <c r="H318" i="34"/>
  <c r="H317" i="34" s="1"/>
  <c r="H334" i="34"/>
  <c r="H332" i="34"/>
  <c r="H331" i="34" s="1"/>
  <c r="H330" i="34" s="1"/>
  <c r="H329" i="34" s="1"/>
  <c r="H328" i="34" s="1"/>
  <c r="H342" i="34"/>
  <c r="H340" i="34"/>
  <c r="H339" i="34" s="1"/>
  <c r="H338" i="34" s="1"/>
  <c r="H352" i="34"/>
  <c r="H350" i="34"/>
  <c r="H349" i="34" s="1"/>
  <c r="H348" i="34" s="1"/>
  <c r="H360" i="34"/>
  <c r="H358" i="34"/>
  <c r="H357" i="34" s="1"/>
  <c r="H356" i="34" s="1"/>
  <c r="H370" i="34"/>
  <c r="H368" i="34"/>
  <c r="H367" i="34" s="1"/>
  <c r="H374" i="34"/>
  <c r="H372" i="34"/>
  <c r="H371" i="34" s="1"/>
  <c r="H165" i="5"/>
  <c r="H212" i="5"/>
  <c r="H210" i="5"/>
  <c r="H209" i="5" s="1"/>
  <c r="H208" i="5" s="1"/>
  <c r="H232" i="5"/>
  <c r="H233" i="5" s="1"/>
  <c r="H230" i="5"/>
  <c r="H229" i="5" s="1"/>
  <c r="H304" i="5"/>
  <c r="H302" i="5"/>
  <c r="H301" i="5" s="1"/>
  <c r="H308" i="5"/>
  <c r="H306" i="5"/>
  <c r="H305" i="5" s="1"/>
  <c r="H300" i="5" s="1"/>
  <c r="H333" i="5"/>
  <c r="H331" i="5"/>
  <c r="H343" i="5"/>
  <c r="H341" i="5"/>
  <c r="H340" i="5" s="1"/>
  <c r="H339" i="5" s="1"/>
  <c r="H338" i="5" s="1"/>
  <c r="H337" i="5" s="1"/>
  <c r="H357" i="5"/>
  <c r="H355" i="5"/>
  <c r="H354" i="5" s="1"/>
  <c r="H353" i="5" s="1"/>
  <c r="H352" i="5" s="1"/>
  <c r="H351" i="5" s="1"/>
  <c r="H387" i="5"/>
  <c r="H385" i="5"/>
  <c r="H384" i="5" s="1"/>
  <c r="H383" i="5" s="1"/>
  <c r="H16" i="5"/>
  <c r="H14" i="5"/>
  <c r="H13" i="5" s="1"/>
  <c r="H12" i="5" s="1"/>
  <c r="H11" i="5" s="1"/>
  <c r="H10" i="5" s="1"/>
  <c r="H26" i="5"/>
  <c r="H24" i="5"/>
  <c r="H20" i="5" s="1"/>
  <c r="H19" i="5" s="1"/>
  <c r="H18" i="5" s="1"/>
  <c r="H17" i="5" s="1"/>
  <c r="H46" i="5"/>
  <c r="H44" i="5"/>
  <c r="H43" i="5" s="1"/>
  <c r="H50" i="5"/>
  <c r="H48" i="5"/>
  <c r="H47" i="5" s="1"/>
  <c r="H54" i="5"/>
  <c r="H52" i="5"/>
  <c r="H51" i="5" s="1"/>
  <c r="H58" i="5"/>
  <c r="H56" i="5"/>
  <c r="H55" i="5" s="1"/>
  <c r="H62" i="5"/>
  <c r="H60" i="5"/>
  <c r="H59" i="5" s="1"/>
  <c r="H72" i="5"/>
  <c r="H70" i="5"/>
  <c r="H66" i="5" s="1"/>
  <c r="H65" i="5" s="1"/>
  <c r="H64" i="5" s="1"/>
  <c r="H63" i="5" s="1"/>
  <c r="H116" i="5"/>
  <c r="H114" i="5"/>
  <c r="H113" i="5" s="1"/>
  <c r="H112" i="5" s="1"/>
  <c r="H111" i="5" s="1"/>
  <c r="H110" i="5" s="1"/>
  <c r="H124" i="5"/>
  <c r="H122" i="5"/>
  <c r="H121" i="5" s="1"/>
  <c r="H154" i="5"/>
  <c r="H152" i="5"/>
  <c r="H148" i="5" s="1"/>
  <c r="H147" i="5" s="1"/>
  <c r="H146" i="5" s="1"/>
  <c r="H145" i="5" s="1"/>
  <c r="H164" i="5"/>
  <c r="H162" i="5"/>
  <c r="H158" i="5" s="1"/>
  <c r="H157" i="5" s="1"/>
  <c r="H156" i="5" s="1"/>
  <c r="H155" i="5" s="1"/>
  <c r="H190" i="5"/>
  <c r="H188" i="5"/>
  <c r="H187" i="5" s="1"/>
  <c r="H194" i="5"/>
  <c r="H192" i="5"/>
  <c r="H191" i="5" s="1"/>
  <c r="H226" i="5"/>
  <c r="H224" i="5"/>
  <c r="H223" i="5" s="1"/>
  <c r="H222" i="5" s="1"/>
  <c r="H268" i="5"/>
  <c r="H266" i="5"/>
  <c r="H265" i="5" s="1"/>
  <c r="H264" i="5" s="1"/>
  <c r="H282" i="5"/>
  <c r="H280" i="5"/>
  <c r="H279" i="5" s="1"/>
  <c r="H286" i="5"/>
  <c r="H284" i="5"/>
  <c r="H283" i="5" s="1"/>
  <c r="H290" i="5"/>
  <c r="H288" i="5"/>
  <c r="H287" i="5" s="1"/>
  <c r="H320" i="5"/>
  <c r="H318" i="5"/>
  <c r="H317" i="5" s="1"/>
  <c r="H316" i="5" s="1"/>
  <c r="H310" i="5" s="1"/>
  <c r="H309" i="5" s="1"/>
  <c r="H395" i="5"/>
  <c r="H393" i="5"/>
  <c r="H389" i="5" s="1"/>
  <c r="H399" i="5"/>
  <c r="H397" i="5"/>
  <c r="H396" i="5" s="1"/>
  <c r="H462" i="5"/>
  <c r="H620" i="5"/>
  <c r="H659" i="5"/>
  <c r="H657" i="5"/>
  <c r="H656" i="5" s="1"/>
  <c r="H663" i="5"/>
  <c r="H661" i="5"/>
  <c r="H660" i="5" s="1"/>
  <c r="H673" i="5"/>
  <c r="H671" i="5"/>
  <c r="H670" i="5" s="1"/>
  <c r="H669" i="5" s="1"/>
  <c r="H668" i="5" s="1"/>
  <c r="H667" i="5" s="1"/>
  <c r="H718" i="5"/>
  <c r="H716" i="5"/>
  <c r="H715" i="5" s="1"/>
  <c r="H714" i="5" s="1"/>
  <c r="H713" i="5" s="1"/>
  <c r="H740" i="5"/>
  <c r="H738" i="5"/>
  <c r="H737" i="5" s="1"/>
  <c r="H736" i="5" s="1"/>
  <c r="H735" i="5" s="1"/>
  <c r="H744" i="5"/>
  <c r="H742" i="5"/>
  <c r="H741" i="5" s="1"/>
  <c r="H826" i="5"/>
  <c r="H824" i="5"/>
  <c r="H823" i="5" s="1"/>
  <c r="H822" i="5" s="1"/>
  <c r="H834" i="5"/>
  <c r="H832" i="5"/>
  <c r="H831" i="5" s="1"/>
  <c r="H830" i="5" s="1"/>
  <c r="H829" i="5" s="1"/>
  <c r="H828" i="5" s="1"/>
  <c r="H848" i="5"/>
  <c r="H846" i="5"/>
  <c r="H845" i="5" s="1"/>
  <c r="H844" i="5" s="1"/>
  <c r="H843" i="5" s="1"/>
  <c r="H842" i="5" s="1"/>
  <c r="H862" i="5"/>
  <c r="H860" i="5"/>
  <c r="H859" i="5" s="1"/>
  <c r="H858" i="5" s="1"/>
  <c r="H857" i="5" s="1"/>
  <c r="H856" i="5" s="1"/>
  <c r="H876" i="5"/>
  <c r="H874" i="5"/>
  <c r="H873" i="5" s="1"/>
  <c r="H872" i="5" s="1"/>
  <c r="H871" i="5" s="1"/>
  <c r="H870" i="5" s="1"/>
  <c r="H943" i="5"/>
  <c r="H941" i="5"/>
  <c r="H940" i="5" s="1"/>
  <c r="H939" i="5" s="1"/>
  <c r="H1017" i="5"/>
  <c r="H1015" i="5"/>
  <c r="H1014" i="5" s="1"/>
  <c r="H1013" i="5" s="1"/>
  <c r="H1012" i="5" s="1"/>
  <c r="H425" i="5"/>
  <c r="H424" i="5" s="1"/>
  <c r="H429" i="5"/>
  <c r="H428" i="5" s="1"/>
  <c r="H445" i="5"/>
  <c r="H444" i="5" s="1"/>
  <c r="H449" i="5"/>
  <c r="H448" i="5" s="1"/>
  <c r="H453" i="5"/>
  <c r="H452" i="5" s="1"/>
  <c r="H473" i="5"/>
  <c r="H472" i="5" s="1"/>
  <c r="H471" i="5" s="1"/>
  <c r="H485" i="5"/>
  <c r="H484" i="5" s="1"/>
  <c r="H483" i="5" s="1"/>
  <c r="H477" i="5" s="1"/>
  <c r="H476" i="5" s="1"/>
  <c r="H495" i="5"/>
  <c r="H491" i="5" s="1"/>
  <c r="H490" i="5" s="1"/>
  <c r="H489" i="5" s="1"/>
  <c r="H488" i="5" s="1"/>
  <c r="H509" i="5"/>
  <c r="H508" i="5" s="1"/>
  <c r="H507" i="5" s="1"/>
  <c r="H506" i="5" s="1"/>
  <c r="H505" i="5" s="1"/>
  <c r="H517" i="5"/>
  <c r="H523" i="5"/>
  <c r="H527" i="5"/>
  <c r="H526" i="5" s="1"/>
  <c r="H535" i="5"/>
  <c r="H533" i="5"/>
  <c r="H532" i="5" s="1"/>
  <c r="H539" i="5"/>
  <c r="H537" i="5"/>
  <c r="H545" i="5"/>
  <c r="H543" i="5"/>
  <c r="H549" i="5"/>
  <c r="H547" i="5"/>
  <c r="H546" i="5" s="1"/>
  <c r="H561" i="5"/>
  <c r="H559" i="5"/>
  <c r="H555" i="5" s="1"/>
  <c r="H554" i="5" s="1"/>
  <c r="H553" i="5" s="1"/>
  <c r="H591" i="5"/>
  <c r="H589" i="5"/>
  <c r="H588" i="5" s="1"/>
  <c r="H595" i="5"/>
  <c r="H593" i="5"/>
  <c r="H592" i="5" s="1"/>
  <c r="H607" i="5"/>
  <c r="H605" i="5"/>
  <c r="H611" i="5"/>
  <c r="H609" i="5"/>
  <c r="H608" i="5" s="1"/>
  <c r="H619" i="5"/>
  <c r="H617" i="5"/>
  <c r="H616" i="5" s="1"/>
  <c r="H653" i="5"/>
  <c r="H651" i="5"/>
  <c r="H650" i="5" s="1"/>
  <c r="H649" i="5" s="1"/>
  <c r="H648" i="5" s="1"/>
  <c r="H691" i="5"/>
  <c r="H689" i="5"/>
  <c r="H688" i="5" s="1"/>
  <c r="H687" i="5" s="1"/>
  <c r="H686" i="5" s="1"/>
  <c r="H685" i="5" s="1"/>
  <c r="H712" i="5"/>
  <c r="H710" i="5"/>
  <c r="H709" i="5" s="1"/>
  <c r="H708" i="5" s="1"/>
  <c r="H707" i="5" s="1"/>
  <c r="H724" i="5"/>
  <c r="H722" i="5"/>
  <c r="H721" i="5" s="1"/>
  <c r="H720" i="5" s="1"/>
  <c r="H734" i="5"/>
  <c r="H732" i="5"/>
  <c r="H731" i="5" s="1"/>
  <c r="H730" i="5" s="1"/>
  <c r="H768" i="5"/>
  <c r="H766" i="5"/>
  <c r="H765" i="5" s="1"/>
  <c r="H794" i="5"/>
  <c r="H792" i="5"/>
  <c r="H791" i="5" s="1"/>
  <c r="H790" i="5" s="1"/>
  <c r="H789" i="5" s="1"/>
  <c r="H788" i="5" s="1"/>
  <c r="H808" i="5"/>
  <c r="H806" i="5"/>
  <c r="H805" i="5" s="1"/>
  <c r="H804" i="5" s="1"/>
  <c r="H803" i="5" s="1"/>
  <c r="H802" i="5" s="1"/>
  <c r="H933" i="5"/>
  <c r="H973" i="5"/>
  <c r="H971" i="5"/>
  <c r="H970" i="5" s="1"/>
  <c r="H969" i="5" s="1"/>
  <c r="H963" i="5" s="1"/>
  <c r="H999" i="5"/>
  <c r="H997" i="5"/>
  <c r="H996" i="5" s="1"/>
  <c r="H899" i="5"/>
  <c r="H897" i="5"/>
  <c r="H896" i="5" s="1"/>
  <c r="H903" i="5"/>
  <c r="H901" i="5"/>
  <c r="H900" i="5" s="1"/>
  <c r="H907" i="5"/>
  <c r="H905" i="5"/>
  <c r="H904" i="5" s="1"/>
  <c r="H911" i="5"/>
  <c r="H909" i="5"/>
  <c r="H908" i="5" s="1"/>
  <c r="H915" i="5"/>
  <c r="H913" i="5"/>
  <c r="H912" i="5" s="1"/>
  <c r="H919" i="5"/>
  <c r="H917" i="5"/>
  <c r="H916" i="5" s="1"/>
  <c r="H931" i="5"/>
  <c r="H929" i="5"/>
  <c r="H928" i="5" s="1"/>
  <c r="H979" i="5"/>
  <c r="H977" i="5"/>
  <c r="H976" i="5" s="1"/>
  <c r="H975" i="5" s="1"/>
  <c r="H974" i="5" s="1"/>
  <c r="H1037" i="5"/>
  <c r="H1035" i="5"/>
  <c r="H1043" i="5"/>
  <c r="H1041" i="5"/>
  <c r="H1051" i="5"/>
  <c r="H1049" i="5"/>
  <c r="H1048" i="5" s="1"/>
  <c r="H1047" i="5" s="1"/>
  <c r="H1046" i="5" s="1"/>
  <c r="H1045" i="5" s="1"/>
  <c r="H1044" i="5" s="1"/>
  <c r="G86" i="3"/>
  <c r="G111" i="3"/>
  <c r="G110" i="3" s="1"/>
  <c r="G105" i="3" s="1"/>
  <c r="G143" i="3"/>
  <c r="G142" i="3" s="1"/>
  <c r="G338" i="3"/>
  <c r="G337" i="3" s="1"/>
  <c r="G436" i="3"/>
  <c r="G419" i="3"/>
  <c r="G625" i="3"/>
  <c r="G635" i="3"/>
  <c r="G679" i="3"/>
  <c r="G765" i="3"/>
  <c r="G764" i="3" s="1"/>
  <c r="G827" i="3"/>
  <c r="G826" i="3"/>
  <c r="G825" i="3" s="1"/>
  <c r="G967" i="3"/>
  <c r="G753" i="3"/>
  <c r="G805" i="3"/>
  <c r="G804" i="3" s="1"/>
  <c r="G895" i="3"/>
  <c r="G983" i="3"/>
  <c r="G982" i="3" s="1"/>
  <c r="G981" i="3"/>
  <c r="G980" i="3" s="1"/>
  <c r="G1067" i="3"/>
  <c r="G1066" i="3"/>
  <c r="G1065" i="3" s="1"/>
  <c r="G1064" i="3" s="1"/>
  <c r="G1058" i="3" s="1"/>
  <c r="G1057" i="3" s="1"/>
  <c r="G1179" i="3"/>
  <c r="G1178" i="3" s="1"/>
  <c r="H1078" i="4"/>
  <c r="H388" i="5" l="1"/>
  <c r="H382" i="5" s="1"/>
  <c r="H381" i="5" s="1"/>
  <c r="H373" i="5" s="1"/>
  <c r="H305" i="34"/>
  <c r="H304" i="34" s="1"/>
  <c r="H303" i="34" s="1"/>
  <c r="H79" i="34"/>
  <c r="H78" i="34" s="1"/>
  <c r="H77" i="34" s="1"/>
  <c r="H76" i="34" s="1"/>
  <c r="H1056" i="5"/>
  <c r="H1055" i="5" s="1"/>
  <c r="H1031" i="5"/>
  <c r="H1030" i="5" s="1"/>
  <c r="H1029" i="5" s="1"/>
  <c r="H1028" i="5" s="1"/>
  <c r="H1027" i="5" s="1"/>
  <c r="H155" i="34"/>
  <c r="H154" i="34" s="1"/>
  <c r="H1097" i="5"/>
  <c r="G616" i="3"/>
  <c r="G615" i="3" s="1"/>
  <c r="G406" i="3"/>
  <c r="G405" i="3" s="1"/>
  <c r="H54" i="34"/>
  <c r="H53" i="34" s="1"/>
  <c r="H366" i="34"/>
  <c r="H355" i="34" s="1"/>
  <c r="H354" i="34" s="1"/>
  <c r="H353" i="34" s="1"/>
  <c r="H337" i="34"/>
  <c r="H336" i="34" s="1"/>
  <c r="H335" i="34" s="1"/>
  <c r="H205" i="34"/>
  <c r="H21" i="34"/>
  <c r="H20" i="34" s="1"/>
  <c r="H10" i="34" s="1"/>
  <c r="H9" i="34" s="1"/>
  <c r="H293" i="34"/>
  <c r="H292" i="34" s="1"/>
  <c r="H291" i="34" s="1"/>
  <c r="H290" i="34" s="1"/>
  <c r="H289" i="34" s="1"/>
  <c r="H144" i="5"/>
  <c r="H932" i="5"/>
  <c r="H655" i="5"/>
  <c r="H654" i="5" s="1"/>
  <c r="H278" i="5"/>
  <c r="H186" i="5"/>
  <c r="H180" i="5" s="1"/>
  <c r="H179" i="5" s="1"/>
  <c r="H9" i="5"/>
  <c r="H228" i="5"/>
  <c r="H227" i="5" s="1"/>
  <c r="H207" i="5"/>
  <c r="H206" i="5" s="1"/>
  <c r="H719" i="5"/>
  <c r="H706" i="5" s="1"/>
  <c r="H705" i="5" s="1"/>
  <c r="H647" i="5"/>
  <c r="H587" i="5"/>
  <c r="H586" i="5" s="1"/>
  <c r="H536" i="5"/>
  <c r="H531" i="5"/>
  <c r="H530" i="5" s="1"/>
  <c r="H516" i="5"/>
  <c r="H515" i="5" s="1"/>
  <c r="H514" i="5" s="1"/>
  <c r="H443" i="5"/>
  <c r="H423" i="5"/>
  <c r="H409" i="5" s="1"/>
  <c r="H408" i="5" s="1"/>
  <c r="H827" i="5"/>
  <c r="H461" i="5"/>
  <c r="H460" i="5" s="1"/>
  <c r="D23" i="1"/>
  <c r="H1096" i="5" l="1"/>
  <c r="H513" i="5"/>
  <c r="E88" i="1"/>
  <c r="D169" i="1"/>
  <c r="D168" i="1" s="1"/>
  <c r="C169" i="1"/>
  <c r="C168" i="1" s="1"/>
  <c r="D166" i="1"/>
  <c r="D11" i="1"/>
  <c r="D87" i="1"/>
  <c r="D86" i="1" s="1"/>
  <c r="C87" i="1"/>
  <c r="C86" i="1" s="1"/>
  <c r="D83" i="1"/>
  <c r="C83" i="1"/>
  <c r="D81" i="1"/>
  <c r="E81" i="1"/>
  <c r="C81" i="1"/>
  <c r="D73" i="1"/>
  <c r="D115" i="1"/>
  <c r="D103" i="1"/>
  <c r="E86" i="1" l="1"/>
  <c r="H1095" i="5"/>
  <c r="E87" i="1"/>
  <c r="I47" i="6"/>
  <c r="I46" i="6"/>
  <c r="I23" i="6"/>
  <c r="I255" i="34"/>
  <c r="I694" i="5"/>
  <c r="I327" i="5"/>
  <c r="I141" i="5"/>
  <c r="I140" i="5"/>
  <c r="I139" i="5"/>
  <c r="I138" i="5"/>
  <c r="I137" i="5"/>
  <c r="I136" i="5"/>
  <c r="I135" i="5"/>
  <c r="I134" i="5"/>
  <c r="F19" i="2"/>
  <c r="H1190" i="3"/>
  <c r="H550" i="3"/>
  <c r="H42" i="3"/>
  <c r="G8" i="4"/>
  <c r="H573" i="4"/>
  <c r="H572" i="4" s="1"/>
  <c r="I572" i="4" s="1"/>
  <c r="H1418" i="4"/>
  <c r="H1415" i="4"/>
  <c r="H1414" i="4" s="1"/>
  <c r="H1412" i="4"/>
  <c r="H1411" i="4" s="1"/>
  <c r="H1409" i="4"/>
  <c r="H1407" i="4"/>
  <c r="H1404" i="4"/>
  <c r="H1400" i="4"/>
  <c r="H1393" i="4"/>
  <c r="G1106" i="3" s="1"/>
  <c r="G1105" i="3" s="1"/>
  <c r="G1104" i="3" s="1"/>
  <c r="G1103" i="3" s="1"/>
  <c r="G1102" i="3" s="1"/>
  <c r="G1101" i="3" s="1"/>
  <c r="H1384" i="4"/>
  <c r="H1383" i="4" s="1"/>
  <c r="H1378" i="4"/>
  <c r="H1370" i="4"/>
  <c r="H1369" i="4" s="1"/>
  <c r="H1367" i="4"/>
  <c r="H1364" i="4"/>
  <c r="H1359" i="4"/>
  <c r="H1357" i="4"/>
  <c r="H1355" i="4"/>
  <c r="G590" i="3" s="1"/>
  <c r="H1354" i="4"/>
  <c r="G589" i="3" s="1"/>
  <c r="H1353" i="4"/>
  <c r="G588" i="3" s="1"/>
  <c r="H1351" i="4"/>
  <c r="G586" i="3" s="1"/>
  <c r="G585" i="3" s="1"/>
  <c r="H1346" i="4"/>
  <c r="H1345" i="4" s="1"/>
  <c r="H1343" i="4"/>
  <c r="H1342" i="4" s="1"/>
  <c r="H1340" i="4"/>
  <c r="H1338" i="4"/>
  <c r="H1333" i="4"/>
  <c r="H1332" i="4" s="1"/>
  <c r="H1328" i="4"/>
  <c r="H1327" i="4" s="1"/>
  <c r="H1325" i="4"/>
  <c r="H1324" i="4" s="1"/>
  <c r="H1322" i="4"/>
  <c r="H1319" i="4"/>
  <c r="H1317" i="4"/>
  <c r="H1314" i="4"/>
  <c r="H1312" i="4"/>
  <c r="H1310" i="4"/>
  <c r="H1304" i="4"/>
  <c r="H1302" i="4"/>
  <c r="H1297" i="4"/>
  <c r="H1296" i="4" s="1"/>
  <c r="H1295" i="4" s="1"/>
  <c r="H1292" i="4"/>
  <c r="H1291" i="4" s="1"/>
  <c r="H1290" i="4" s="1"/>
  <c r="H1288" i="4"/>
  <c r="H1284" i="4"/>
  <c r="H1283" i="4" s="1"/>
  <c r="H1282" i="4" s="1"/>
  <c r="H1280" i="4"/>
  <c r="H1279" i="4" s="1"/>
  <c r="H1278" i="4" s="1"/>
  <c r="H1277" i="4"/>
  <c r="H1273" i="4"/>
  <c r="H1272" i="4" s="1"/>
  <c r="H1270" i="4"/>
  <c r="H1269" i="4"/>
  <c r="H1266" i="4"/>
  <c r="H1262" i="4"/>
  <c r="H1261" i="4" s="1"/>
  <c r="H1260" i="4"/>
  <c r="H1256" i="4"/>
  <c r="H1253" i="4"/>
  <c r="H1252" i="4" s="1"/>
  <c r="H1248" i="4"/>
  <c r="H1247" i="4" s="1"/>
  <c r="H1246" i="4"/>
  <c r="G481" i="3" s="1"/>
  <c r="G480" i="3" s="1"/>
  <c r="G479" i="3" s="1"/>
  <c r="G478" i="3" s="1"/>
  <c r="G477" i="3" s="1"/>
  <c r="H1240" i="4"/>
  <c r="H1234" i="4"/>
  <c r="H1232" i="4" s="1"/>
  <c r="H1230" i="4"/>
  <c r="H1229" i="4" s="1"/>
  <c r="H1226" i="4"/>
  <c r="H1222" i="4"/>
  <c r="H1218" i="4"/>
  <c r="H1214" i="4"/>
  <c r="H1213" i="4" s="1"/>
  <c r="H1212" i="4" s="1"/>
  <c r="H1210" i="4"/>
  <c r="H1208" i="4"/>
  <c r="H1204" i="4"/>
  <c r="H1203" i="4" s="1"/>
  <c r="H1199" i="4"/>
  <c r="H1196" i="4"/>
  <c r="H1194" i="4"/>
  <c r="H1193" i="4"/>
  <c r="H1191" i="4"/>
  <c r="H1190" i="4" s="1"/>
  <c r="H1188" i="4"/>
  <c r="H1186" i="4"/>
  <c r="H1181" i="4"/>
  <c r="H1179" i="4"/>
  <c r="H1175" i="4"/>
  <c r="H1173" i="4"/>
  <c r="H1167" i="4"/>
  <c r="H1159" i="4"/>
  <c r="H1158" i="4" s="1"/>
  <c r="H1156" i="4"/>
  <c r="H1154" i="4"/>
  <c r="H1147" i="4"/>
  <c r="H1146" i="4" s="1"/>
  <c r="H1144" i="4"/>
  <c r="H1142" i="4"/>
  <c r="H1139" i="4" s="1"/>
  <c r="H1138" i="4" s="1"/>
  <c r="H1140" i="4"/>
  <c r="H1136" i="4"/>
  <c r="H1135" i="4" s="1"/>
  <c r="H1130" i="4"/>
  <c r="H1129" i="4" s="1"/>
  <c r="H1124" i="4"/>
  <c r="H1123" i="4" s="1"/>
  <c r="H1122" i="4" s="1"/>
  <c r="H1121" i="4" s="1"/>
  <c r="H1120" i="4" s="1"/>
  <c r="H1119" i="4" s="1"/>
  <c r="H1118" i="4" s="1"/>
  <c r="H1116" i="4"/>
  <c r="H1115" i="4" s="1"/>
  <c r="H1113" i="4"/>
  <c r="H1112" i="4" s="1"/>
  <c r="H1110" i="4"/>
  <c r="H1109" i="4" s="1"/>
  <c r="H1106" i="4"/>
  <c r="H1107" i="4"/>
  <c r="G185" i="3" s="1"/>
  <c r="G184" i="3" s="1"/>
  <c r="G179" i="3" s="1"/>
  <c r="G175" i="3" s="1"/>
  <c r="H1104" i="4"/>
  <c r="H1102" i="4"/>
  <c r="H1099" i="4"/>
  <c r="H1098" i="4" s="1"/>
  <c r="H1091" i="4"/>
  <c r="H1089" i="4"/>
  <c r="H1084" i="4"/>
  <c r="H1083" i="4" s="1"/>
  <c r="H1081" i="4"/>
  <c r="H1080" i="4" s="1"/>
  <c r="H1076" i="4"/>
  <c r="H1074" i="4"/>
  <c r="H1073" i="4" s="1"/>
  <c r="H1071" i="4"/>
  <c r="H1070" i="4" s="1"/>
  <c r="H1066" i="4"/>
  <c r="H1065" i="4" s="1"/>
  <c r="G1226" i="3" s="1"/>
  <c r="G1225" i="3" s="1"/>
  <c r="G1224" i="3" s="1"/>
  <c r="G1212" i="3" s="1"/>
  <c r="G1211" i="3" s="1"/>
  <c r="G1210" i="3" s="1"/>
  <c r="H1063" i="4"/>
  <c r="H1060" i="4"/>
  <c r="H1059" i="4" s="1"/>
  <c r="H1057" i="4"/>
  <c r="H1055" i="4"/>
  <c r="H1049" i="4"/>
  <c r="H1048" i="4" s="1"/>
  <c r="H1047" i="4" s="1"/>
  <c r="H1046" i="4" s="1"/>
  <c r="H1044" i="4"/>
  <c r="H1043" i="4" s="1"/>
  <c r="H1042" i="4" s="1"/>
  <c r="H1040" i="4"/>
  <c r="H1039" i="4" s="1"/>
  <c r="H1038" i="4" s="1"/>
  <c r="H1036" i="4"/>
  <c r="H1035" i="4" s="1"/>
  <c r="H1033" i="4"/>
  <c r="H1032" i="4" s="1"/>
  <c r="H1030" i="4"/>
  <c r="H1029" i="4" s="1"/>
  <c r="H1026" i="4"/>
  <c r="H1025" i="4" s="1"/>
  <c r="H1023" i="4"/>
  <c r="H1022" i="4" s="1"/>
  <c r="H1017" i="4"/>
  <c r="H1016" i="4" s="1"/>
  <c r="H1012" i="4"/>
  <c r="H1011" i="4" s="1"/>
  <c r="H1007" i="4"/>
  <c r="H1006" i="4"/>
  <c r="H1005" i="4" s="1"/>
  <c r="H1003" i="4"/>
  <c r="H1002" i="4" s="1"/>
  <c r="H1001" i="4" s="1"/>
  <c r="H999" i="4"/>
  <c r="H998" i="4" s="1"/>
  <c r="H997" i="4" s="1"/>
  <c r="H995" i="4"/>
  <c r="H994" i="4" s="1"/>
  <c r="H992" i="4"/>
  <c r="H991" i="4" s="1"/>
  <c r="H989" i="4"/>
  <c r="H985" i="4"/>
  <c r="H984" i="4"/>
  <c r="H982" i="4"/>
  <c r="H981" i="4" s="1"/>
  <c r="H979" i="4"/>
  <c r="H978" i="4" s="1"/>
  <c r="H976" i="4"/>
  <c r="H975" i="4" s="1"/>
  <c r="H972" i="4"/>
  <c r="H971" i="4" s="1"/>
  <c r="H969" i="4"/>
  <c r="H968" i="4" s="1"/>
  <c r="H966" i="4"/>
  <c r="H965" i="4" s="1"/>
  <c r="H959" i="4"/>
  <c r="H958" i="4" s="1"/>
  <c r="H957" i="4" s="1"/>
  <c r="H956" i="4" s="1"/>
  <c r="H955" i="4" s="1"/>
  <c r="H954" i="4" s="1"/>
  <c r="H952" i="4"/>
  <c r="H951" i="4" s="1"/>
  <c r="H947" i="4"/>
  <c r="H946" i="4" s="1"/>
  <c r="H945" i="4" s="1"/>
  <c r="H940" i="4"/>
  <c r="H937" i="4"/>
  <c r="H933" i="4"/>
  <c r="H932" i="4" s="1"/>
  <c r="H931" i="4" s="1"/>
  <c r="H928" i="4"/>
  <c r="H927" i="4" s="1"/>
  <c r="H926" i="4" s="1"/>
  <c r="H924" i="4"/>
  <c r="H923" i="4" s="1"/>
  <c r="H921" i="4"/>
  <c r="H919" i="4"/>
  <c r="H917" i="4"/>
  <c r="H914" i="4"/>
  <c r="H913" i="4" s="1"/>
  <c r="H909" i="4"/>
  <c r="H908" i="4" s="1"/>
  <c r="H906" i="4"/>
  <c r="H905" i="4" s="1"/>
  <c r="H903" i="4"/>
  <c r="H902" i="4" s="1"/>
  <c r="H900" i="4"/>
  <c r="H899" i="4" s="1"/>
  <c r="H897" i="4"/>
  <c r="H895" i="4"/>
  <c r="H893" i="4"/>
  <c r="H890" i="4"/>
  <c r="H888" i="4"/>
  <c r="H882" i="4"/>
  <c r="H881" i="4" s="1"/>
  <c r="H875" i="4"/>
  <c r="H874" i="4" s="1"/>
  <c r="H871" i="4"/>
  <c r="H866" i="4"/>
  <c r="H865" i="4" s="1"/>
  <c r="H863" i="4"/>
  <c r="H862" i="4" s="1"/>
  <c r="H859" i="4"/>
  <c r="H858" i="4" s="1"/>
  <c r="H857" i="4" s="1"/>
  <c r="H855" i="4"/>
  <c r="H854" i="4" s="1"/>
  <c r="H853" i="4" s="1"/>
  <c r="H851" i="4"/>
  <c r="H850" i="4" s="1"/>
  <c r="H848" i="4"/>
  <c r="H847" i="4" s="1"/>
  <c r="H842" i="4"/>
  <c r="H841" i="4" s="1"/>
  <c r="H840" i="4" s="1"/>
  <c r="H837" i="4"/>
  <c r="H836" i="4" s="1"/>
  <c r="H832" i="4"/>
  <c r="H831" i="4" s="1"/>
  <c r="H830" i="4" s="1"/>
  <c r="H828" i="4"/>
  <c r="H827" i="4" s="1"/>
  <c r="H824" i="4"/>
  <c r="H823" i="4"/>
  <c r="H822" i="4" s="1"/>
  <c r="H820" i="4"/>
  <c r="H819" i="4" s="1"/>
  <c r="H818" i="4" s="1"/>
  <c r="H816" i="4"/>
  <c r="H815" i="4" s="1"/>
  <c r="H814" i="4" s="1"/>
  <c r="H812" i="4"/>
  <c r="H811" i="4" s="1"/>
  <c r="H810" i="4" s="1"/>
  <c r="H808" i="4"/>
  <c r="H807" i="4" s="1"/>
  <c r="H806" i="4"/>
  <c r="H805" i="4"/>
  <c r="H804" i="4" s="1"/>
  <c r="H801" i="4"/>
  <c r="H800" i="4" s="1"/>
  <c r="H798" i="4"/>
  <c r="H797" i="4" s="1"/>
  <c r="H795" i="4"/>
  <c r="H794" i="4" s="1"/>
  <c r="H792" i="4"/>
  <c r="H791" i="4" s="1"/>
  <c r="H789" i="4"/>
  <c r="H788" i="4" s="1"/>
  <c r="H785" i="4"/>
  <c r="H784" i="4" s="1"/>
  <c r="H782" i="4"/>
  <c r="H778" i="4"/>
  <c r="H777" i="4" s="1"/>
  <c r="H775" i="4"/>
  <c r="H774" i="4" s="1"/>
  <c r="H769" i="4"/>
  <c r="H768" i="4" s="1"/>
  <c r="H764" i="4"/>
  <c r="H763" i="4" s="1"/>
  <c r="H762" i="4" s="1"/>
  <c r="H761" i="4" s="1"/>
  <c r="H759" i="4"/>
  <c r="H758" i="4" s="1"/>
  <c r="H757" i="4" s="1"/>
  <c r="H755" i="4"/>
  <c r="H754" i="4" s="1"/>
  <c r="H753" i="4" s="1"/>
  <c r="H751" i="4"/>
  <c r="H750" i="4" s="1"/>
  <c r="H748" i="4"/>
  <c r="H747" i="4" s="1"/>
  <c r="H745" i="4"/>
  <c r="H744" i="4" s="1"/>
  <c r="H741" i="4"/>
  <c r="H740" i="4" s="1"/>
  <c r="H738" i="4"/>
  <c r="H737" i="4" s="1"/>
  <c r="H735" i="4"/>
  <c r="H734" i="4" s="1"/>
  <c r="H731" i="4"/>
  <c r="H730" i="4" s="1"/>
  <c r="H729" i="4" s="1"/>
  <c r="H727" i="4"/>
  <c r="H726" i="4" s="1"/>
  <c r="H725" i="4" s="1"/>
  <c r="H720" i="4"/>
  <c r="H719" i="4" s="1"/>
  <c r="H718" i="4" s="1"/>
  <c r="H715" i="4"/>
  <c r="H714" i="4" s="1"/>
  <c r="H713" i="4" s="1"/>
  <c r="H712" i="4" s="1"/>
  <c r="H707" i="4"/>
  <c r="H706" i="4"/>
  <c r="H705" i="4"/>
  <c r="H699" i="4"/>
  <c r="H696" i="4"/>
  <c r="H695" i="4" s="1"/>
  <c r="G396" i="3" s="1"/>
  <c r="G395" i="3" s="1"/>
  <c r="G394" i="3" s="1"/>
  <c r="H690" i="4"/>
  <c r="G211" i="3" s="1"/>
  <c r="G210" i="3" s="1"/>
  <c r="G209" i="3" s="1"/>
  <c r="H689" i="4"/>
  <c r="H688" i="4" s="1"/>
  <c r="H685" i="4"/>
  <c r="H683" i="4"/>
  <c r="H677" i="4"/>
  <c r="H676" i="4" s="1"/>
  <c r="H674" i="4"/>
  <c r="H673" i="4" s="1"/>
  <c r="H671" i="4"/>
  <c r="H670" i="4" s="1"/>
  <c r="H668" i="4"/>
  <c r="H666" i="4"/>
  <c r="H664" i="4"/>
  <c r="H656" i="4"/>
  <c r="H655" i="4" s="1"/>
  <c r="H653" i="4"/>
  <c r="H652" i="4" s="1"/>
  <c r="H650" i="4"/>
  <c r="H647" i="4"/>
  <c r="H645" i="4"/>
  <c r="H643" i="4"/>
  <c r="H635" i="4"/>
  <c r="H634" i="4" s="1"/>
  <c r="H630" i="4"/>
  <c r="H629" i="4" s="1"/>
  <c r="H628" i="4" s="1"/>
  <c r="H626" i="4"/>
  <c r="H625" i="4" s="1"/>
  <c r="H623" i="4"/>
  <c r="H621" i="4"/>
  <c r="H619" i="4"/>
  <c r="H612" i="4"/>
  <c r="H611" i="4" s="1"/>
  <c r="H608" i="4"/>
  <c r="H606" i="4"/>
  <c r="H605" i="4"/>
  <c r="H604" i="4" s="1"/>
  <c r="H602" i="4"/>
  <c r="H600" i="4"/>
  <c r="H595" i="4"/>
  <c r="H594" i="4" s="1"/>
  <c r="H593" i="4" s="1"/>
  <c r="H587" i="4"/>
  <c r="H586" i="4" s="1"/>
  <c r="H585" i="4"/>
  <c r="H582" i="4"/>
  <c r="H576" i="4"/>
  <c r="H575" i="4" s="1"/>
  <c r="H571" i="4"/>
  <c r="G1032" i="3" s="1"/>
  <c r="G1031" i="3" s="1"/>
  <c r="G1026" i="3" s="1"/>
  <c r="G1022" i="3" s="1"/>
  <c r="G1021" i="3" s="1"/>
  <c r="H568" i="4"/>
  <c r="H566" i="4"/>
  <c r="H563" i="4"/>
  <c r="H558" i="4"/>
  <c r="H557" i="4" s="1"/>
  <c r="H555" i="4"/>
  <c r="H554" i="4" s="1"/>
  <c r="H553" i="4"/>
  <c r="H549" i="4"/>
  <c r="H548" i="4" s="1"/>
  <c r="H546" i="4"/>
  <c r="H544" i="4"/>
  <c r="H542" i="4"/>
  <c r="H536" i="4"/>
  <c r="H535" i="4" s="1"/>
  <c r="H533" i="4"/>
  <c r="H532" i="4" s="1"/>
  <c r="H528" i="4"/>
  <c r="H527" i="4" s="1"/>
  <c r="H525" i="4"/>
  <c r="H524" i="4"/>
  <c r="H520" i="4" s="1"/>
  <c r="H519" i="4" s="1"/>
  <c r="H522" i="4"/>
  <c r="H521" i="4" s="1"/>
  <c r="H518" i="4"/>
  <c r="H516" i="4"/>
  <c r="H515" i="4"/>
  <c r="H511" i="4"/>
  <c r="H510" i="4"/>
  <c r="H508" i="4"/>
  <c r="H507" i="4" s="1"/>
  <c r="H504" i="4"/>
  <c r="H503" i="4" s="1"/>
  <c r="H502" i="4" s="1"/>
  <c r="H501" i="4"/>
  <c r="H496" i="4"/>
  <c r="H495" i="4"/>
  <c r="H493" i="4"/>
  <c r="H492" i="4" s="1"/>
  <c r="H489" i="4"/>
  <c r="H488" i="4" s="1"/>
  <c r="H487" i="4" s="1"/>
  <c r="H485" i="4"/>
  <c r="H483" i="4"/>
  <c r="H480" i="4"/>
  <c r="H479" i="4" s="1"/>
  <c r="H476" i="4"/>
  <c r="H475" i="4" s="1"/>
  <c r="H473" i="4"/>
  <c r="H472" i="4" s="1"/>
  <c r="H470" i="4"/>
  <c r="H469" i="4" s="1"/>
  <c r="H466" i="4"/>
  <c r="H465" i="4" s="1"/>
  <c r="H463" i="4"/>
  <c r="H460" i="4"/>
  <c r="H459" i="4" s="1"/>
  <c r="H457" i="4"/>
  <c r="H456" i="4"/>
  <c r="H451" i="4"/>
  <c r="H449" i="4"/>
  <c r="H446" i="4"/>
  <c r="H445" i="4" s="1"/>
  <c r="H443" i="4"/>
  <c r="H441" i="4"/>
  <c r="H439" i="4"/>
  <c r="H436" i="4"/>
  <c r="H435" i="4" s="1"/>
  <c r="H429" i="4"/>
  <c r="H428" i="4" s="1"/>
  <c r="H427" i="4" s="1"/>
  <c r="H425" i="4"/>
  <c r="H422" i="4" s="1"/>
  <c r="H421" i="4" s="1"/>
  <c r="H423" i="4"/>
  <c r="H419" i="4"/>
  <c r="H418" i="4" s="1"/>
  <c r="H416" i="4"/>
  <c r="H415" i="4" s="1"/>
  <c r="H414" i="4"/>
  <c r="H406" i="4"/>
  <c r="H405" i="4" s="1"/>
  <c r="H401" i="4"/>
  <c r="H400" i="4" s="1"/>
  <c r="H398" i="4" s="1"/>
  <c r="H399" i="4"/>
  <c r="H396" i="4"/>
  <c r="H395" i="4" s="1"/>
  <c r="H394" i="4" s="1"/>
  <c r="H392" i="4"/>
  <c r="H391" i="4" s="1"/>
  <c r="H390" i="4" s="1"/>
  <c r="H388" i="4"/>
  <c r="H386" i="4"/>
  <c r="H383" i="4"/>
  <c r="H382" i="4" s="1"/>
  <c r="H379" i="4"/>
  <c r="H378" i="4" s="1"/>
  <c r="H376" i="4"/>
  <c r="H375" i="4" s="1"/>
  <c r="H373" i="4"/>
  <c r="H372" i="4" s="1"/>
  <c r="H370" i="4"/>
  <c r="H368" i="4"/>
  <c r="H366" i="4"/>
  <c r="H359" i="4"/>
  <c r="H358" i="4" s="1"/>
  <c r="H357" i="4" s="1"/>
  <c r="H355" i="4"/>
  <c r="H354" i="4" s="1"/>
  <c r="H353" i="4" s="1"/>
  <c r="H352" i="4"/>
  <c r="H347" i="4"/>
  <c r="H346" i="4" s="1"/>
  <c r="H345" i="4" s="1"/>
  <c r="H339" i="4"/>
  <c r="H338" i="4" s="1"/>
  <c r="H334" i="4"/>
  <c r="H333" i="4" s="1"/>
  <c r="H329" i="4"/>
  <c r="H328" i="4" s="1"/>
  <c r="H326" i="4"/>
  <c r="H325" i="4"/>
  <c r="H323" i="4"/>
  <c r="H322" i="4" s="1"/>
  <c r="H320" i="4"/>
  <c r="H319" i="4" s="1"/>
  <c r="H318" i="4"/>
  <c r="H312" i="4"/>
  <c r="H311" i="4"/>
  <c r="H309" i="4"/>
  <c r="H308" i="4"/>
  <c r="H307" i="4"/>
  <c r="H304" i="4"/>
  <c r="H303" i="4" s="1"/>
  <c r="H295" i="4"/>
  <c r="H294" i="4" s="1"/>
  <c r="H293" i="4" s="1"/>
  <c r="H292" i="4"/>
  <c r="H288" i="4"/>
  <c r="H287" i="4" s="1"/>
  <c r="H283" i="4"/>
  <c r="H281" i="4"/>
  <c r="H278" i="4"/>
  <c r="H276" i="4"/>
  <c r="H270" i="4"/>
  <c r="H269" i="4" s="1"/>
  <c r="H268" i="4" s="1"/>
  <c r="H267" i="4" s="1"/>
  <c r="H266" i="4" s="1"/>
  <c r="H263" i="4"/>
  <c r="H262" i="4" s="1"/>
  <c r="H261" i="4" s="1"/>
  <c r="H260" i="4" s="1"/>
  <c r="H259" i="4" s="1"/>
  <c r="H257" i="4"/>
  <c r="H256" i="4" s="1"/>
  <c r="H255" i="4" s="1"/>
  <c r="H254" i="4" s="1"/>
  <c r="H252" i="4"/>
  <c r="H250" i="4"/>
  <c r="H244" i="4"/>
  <c r="H243" i="4" s="1"/>
  <c r="H242" i="4" s="1"/>
  <c r="H241" i="4"/>
  <c r="H233" i="4"/>
  <c r="H229" i="4"/>
  <c r="H228" i="4"/>
  <c r="H227" i="4" s="1"/>
  <c r="H226" i="4" s="1"/>
  <c r="H225" i="4" s="1"/>
  <c r="H224" i="4"/>
  <c r="H221" i="4"/>
  <c r="H217" i="4"/>
  <c r="H216" i="4" s="1"/>
  <c r="H213" i="4"/>
  <c r="H210" i="4"/>
  <c r="H208" i="4"/>
  <c r="H206" i="4"/>
  <c r="H203" i="4"/>
  <c r="H202" i="4" s="1"/>
  <c r="H196" i="4"/>
  <c r="H195" i="4" s="1"/>
  <c r="H194" i="4" s="1"/>
  <c r="H193" i="4" s="1"/>
  <c r="H192" i="4" s="1"/>
  <c r="H191" i="4" s="1"/>
  <c r="H189" i="4"/>
  <c r="H188" i="4" s="1"/>
  <c r="H187" i="4" s="1"/>
  <c r="H184" i="4"/>
  <c r="H182" i="4"/>
  <c r="H177" i="4"/>
  <c r="H176" i="4" s="1"/>
  <c r="H172" i="4"/>
  <c r="H171" i="4" s="1"/>
  <c r="H170" i="4" s="1"/>
  <c r="H169" i="4"/>
  <c r="H168" i="4"/>
  <c r="H167" i="4" s="1"/>
  <c r="H166" i="4" s="1"/>
  <c r="H163" i="4"/>
  <c r="H162" i="4" s="1"/>
  <c r="H161" i="4" s="1"/>
  <c r="H160" i="4" s="1"/>
  <c r="H159" i="4"/>
  <c r="H155" i="4"/>
  <c r="H149" i="4"/>
  <c r="H147" i="4"/>
  <c r="H141" i="4"/>
  <c r="H140" i="4" s="1"/>
  <c r="H138" i="4"/>
  <c r="H137" i="4" s="1"/>
  <c r="H132" i="4"/>
  <c r="H131" i="4" s="1"/>
  <c r="H130" i="4" s="1"/>
  <c r="H128" i="4"/>
  <c r="H127" i="4" s="1"/>
  <c r="H125" i="4"/>
  <c r="H123" i="4"/>
  <c r="H119" i="4"/>
  <c r="H118" i="4" s="1"/>
  <c r="H117" i="4" s="1"/>
  <c r="H114" i="4"/>
  <c r="H112" i="4"/>
  <c r="H109" i="4"/>
  <c r="H107" i="4"/>
  <c r="H104" i="4"/>
  <c r="H102" i="4"/>
  <c r="H99" i="4"/>
  <c r="H98" i="4" s="1"/>
  <c r="H95" i="4"/>
  <c r="H94" i="4" s="1"/>
  <c r="H92" i="4"/>
  <c r="H91" i="4" s="1"/>
  <c r="H89" i="4"/>
  <c r="H88" i="4" s="1"/>
  <c r="H86" i="4"/>
  <c r="H85" i="4" s="1"/>
  <c r="H83" i="4"/>
  <c r="H81" i="4"/>
  <c r="H78" i="4"/>
  <c r="H77" i="4"/>
  <c r="H74" i="4"/>
  <c r="H72" i="4"/>
  <c r="H66" i="4"/>
  <c r="H65" i="4" s="1"/>
  <c r="H64" i="4" s="1"/>
  <c r="H63" i="4" s="1"/>
  <c r="H61" i="4"/>
  <c r="H60" i="4" s="1"/>
  <c r="H58" i="4"/>
  <c r="H57" i="4" s="1"/>
  <c r="H56" i="4"/>
  <c r="H53" i="4"/>
  <c r="H50" i="4"/>
  <c r="H42" i="4"/>
  <c r="H41" i="4" s="1"/>
  <c r="H40" i="4" s="1"/>
  <c r="H39" i="4" s="1"/>
  <c r="H38" i="4" s="1"/>
  <c r="H36" i="4"/>
  <c r="H35" i="4" s="1"/>
  <c r="H34" i="4" s="1"/>
  <c r="H33" i="4" s="1"/>
  <c r="H32" i="4" s="1"/>
  <c r="H1430" i="4" s="1"/>
  <c r="H30" i="4"/>
  <c r="H29" i="4" s="1"/>
  <c r="H27" i="4"/>
  <c r="H26" i="4" s="1"/>
  <c r="H24" i="4"/>
  <c r="H23" i="4" s="1"/>
  <c r="H21" i="4"/>
  <c r="H19" i="4"/>
  <c r="G130" i="3" s="1"/>
  <c r="G129" i="3" s="1"/>
  <c r="G126" i="3" s="1"/>
  <c r="G125" i="3" s="1"/>
  <c r="G124" i="3" s="1"/>
  <c r="G123" i="3" s="1"/>
  <c r="H17" i="4"/>
  <c r="I1416" i="4"/>
  <c r="I1410" i="4"/>
  <c r="I1405" i="4"/>
  <c r="I1371" i="4"/>
  <c r="I1365" i="4"/>
  <c r="I1360" i="4"/>
  <c r="I1358" i="4"/>
  <c r="I1344" i="4"/>
  <c r="I1326" i="4"/>
  <c r="I1320" i="4"/>
  <c r="I1315" i="4"/>
  <c r="I1285" i="4"/>
  <c r="I1281" i="4"/>
  <c r="I1274" i="4"/>
  <c r="I1263" i="4"/>
  <c r="I1259" i="4"/>
  <c r="I1227" i="4"/>
  <c r="I1223" i="4"/>
  <c r="I1219" i="4"/>
  <c r="I1215" i="4"/>
  <c r="I1211" i="4"/>
  <c r="I1209" i="4"/>
  <c r="I1200" i="4"/>
  <c r="I1197" i="4"/>
  <c r="I1195" i="4"/>
  <c r="I1192" i="4"/>
  <c r="I1189" i="4"/>
  <c r="I1187" i="4"/>
  <c r="I1183" i="4"/>
  <c r="I1177" i="4"/>
  <c r="I1176" i="4"/>
  <c r="I1157" i="4"/>
  <c r="I1155" i="4"/>
  <c r="I1148" i="4"/>
  <c r="I1145" i="4"/>
  <c r="I1141" i="4"/>
  <c r="I1137" i="4"/>
  <c r="I1111" i="4"/>
  <c r="I1082" i="4"/>
  <c r="I1064" i="4"/>
  <c r="I1037" i="4"/>
  <c r="I1031" i="4"/>
  <c r="I1008" i="4"/>
  <c r="I993" i="4"/>
  <c r="I986" i="4"/>
  <c r="I983" i="4"/>
  <c r="I977" i="4"/>
  <c r="I953" i="4"/>
  <c r="I948" i="4"/>
  <c r="I904" i="4"/>
  <c r="I864" i="4"/>
  <c r="I860" i="4"/>
  <c r="I838" i="4"/>
  <c r="I825" i="4"/>
  <c r="I821" i="4"/>
  <c r="I802" i="4"/>
  <c r="I796" i="4"/>
  <c r="I790" i="4"/>
  <c r="I765" i="4"/>
  <c r="I739" i="4"/>
  <c r="I721" i="4"/>
  <c r="I716" i="4"/>
  <c r="I675" i="4"/>
  <c r="I648" i="4"/>
  <c r="I636" i="4"/>
  <c r="I607" i="4"/>
  <c r="I588" i="4"/>
  <c r="I574" i="4"/>
  <c r="I573" i="4"/>
  <c r="I556" i="4"/>
  <c r="I526" i="4"/>
  <c r="I523" i="4"/>
  <c r="I512" i="4"/>
  <c r="I509" i="4"/>
  <c r="I505" i="4"/>
  <c r="I497" i="4"/>
  <c r="I494" i="4"/>
  <c r="I490" i="4"/>
  <c r="I484" i="4"/>
  <c r="I481" i="4"/>
  <c r="I464" i="4"/>
  <c r="I458" i="4"/>
  <c r="I450" i="4"/>
  <c r="I447" i="4"/>
  <c r="I430" i="4"/>
  <c r="I417" i="4"/>
  <c r="I389" i="4"/>
  <c r="I374" i="4"/>
  <c r="I360" i="4"/>
  <c r="I356" i="4"/>
  <c r="I348" i="4"/>
  <c r="I340" i="4"/>
  <c r="I330" i="4"/>
  <c r="I327" i="4"/>
  <c r="I324" i="4"/>
  <c r="I313" i="4"/>
  <c r="I289" i="4"/>
  <c r="I284" i="4"/>
  <c r="I253" i="4"/>
  <c r="I245" i="4"/>
  <c r="I211" i="4"/>
  <c r="I197" i="4"/>
  <c r="I178" i="4"/>
  <c r="I173" i="4"/>
  <c r="I164" i="4"/>
  <c r="I158" i="4"/>
  <c r="I156" i="4"/>
  <c r="I150" i="4"/>
  <c r="I148" i="4"/>
  <c r="I133" i="4"/>
  <c r="I129" i="4"/>
  <c r="I110" i="4"/>
  <c r="I100" i="4"/>
  <c r="I93" i="4"/>
  <c r="I90" i="4"/>
  <c r="I67" i="4"/>
  <c r="I59" i="4"/>
  <c r="I43" i="4"/>
  <c r="I28" i="4"/>
  <c r="H8" i="4"/>
  <c r="I8" i="4"/>
  <c r="E162" i="1"/>
  <c r="E161" i="1"/>
  <c r="E160" i="1"/>
  <c r="E159" i="1"/>
  <c r="E158" i="1"/>
  <c r="E157" i="1"/>
  <c r="E154" i="1"/>
  <c r="E153" i="1"/>
  <c r="E151" i="1"/>
  <c r="E144" i="1"/>
  <c r="E140" i="1"/>
  <c r="E137" i="1"/>
  <c r="E133" i="1"/>
  <c r="E129" i="1"/>
  <c r="E128" i="1"/>
  <c r="E127" i="1"/>
  <c r="E126" i="1"/>
  <c r="E121" i="1"/>
  <c r="E119" i="1"/>
  <c r="E105" i="1"/>
  <c r="E100" i="1"/>
  <c r="E96" i="1"/>
  <c r="E80" i="1"/>
  <c r="E78" i="1"/>
  <c r="E76" i="1"/>
  <c r="E74" i="1"/>
  <c r="E65" i="1"/>
  <c r="E53" i="1"/>
  <c r="E49" i="1"/>
  <c r="E45" i="1"/>
  <c r="E43" i="1"/>
  <c r="E40" i="1"/>
  <c r="E38" i="1"/>
  <c r="E35" i="1"/>
  <c r="E33" i="1"/>
  <c r="E29" i="1"/>
  <c r="E27" i="1"/>
  <c r="E18" i="1"/>
  <c r="E17" i="1"/>
  <c r="E15" i="1"/>
  <c r="E14" i="1"/>
  <c r="E13" i="1"/>
  <c r="D79" i="1"/>
  <c r="D110" i="1"/>
  <c r="H52" i="4" l="1"/>
  <c r="G18" i="3"/>
  <c r="G17" i="3" s="1"/>
  <c r="H220" i="4"/>
  <c r="H219" i="4" s="1"/>
  <c r="G306" i="3"/>
  <c r="G305" i="3" s="1"/>
  <c r="G304" i="3" s="1"/>
  <c r="H351" i="4"/>
  <c r="H350" i="4" s="1"/>
  <c r="H349" i="4" s="1"/>
  <c r="H101" i="5"/>
  <c r="G371" i="3"/>
  <c r="G370" i="3" s="1"/>
  <c r="G369" i="3" s="1"/>
  <c r="G368" i="3" s="1"/>
  <c r="G363" i="3" s="1"/>
  <c r="G362" i="3" s="1"/>
  <c r="G354" i="3" s="1"/>
  <c r="H253" i="34"/>
  <c r="G763" i="3"/>
  <c r="G762" i="3" s="1"/>
  <c r="G761" i="3" s="1"/>
  <c r="G760" i="3" s="1"/>
  <c r="G737" i="3" s="1"/>
  <c r="G736" i="3" s="1"/>
  <c r="H326" i="5"/>
  <c r="H939" i="4"/>
  <c r="H335" i="5"/>
  <c r="G891" i="3"/>
  <c r="G890" i="3" s="1"/>
  <c r="G887" i="3" s="1"/>
  <c r="G886" i="3" s="1"/>
  <c r="G881" i="3" s="1"/>
  <c r="G835" i="3" s="1"/>
  <c r="H157" i="4"/>
  <c r="G208" i="3"/>
  <c r="G206" i="3" s="1"/>
  <c r="G203" i="3" s="1"/>
  <c r="G196" i="3" s="1"/>
  <c r="G174" i="3" s="1"/>
  <c r="H60" i="34"/>
  <c r="H41" i="5"/>
  <c r="G818" i="3"/>
  <c r="G817" i="3" s="1"/>
  <c r="G816" i="3" s="1"/>
  <c r="G815" i="3" s="1"/>
  <c r="G814" i="3" s="1"/>
  <c r="G813" i="3" s="1"/>
  <c r="G812" i="3" s="1"/>
  <c r="H462" i="4"/>
  <c r="H614" i="5"/>
  <c r="H517" i="4"/>
  <c r="H514" i="4" s="1"/>
  <c r="H703" i="5"/>
  <c r="G979" i="3"/>
  <c r="G978" i="3" s="1"/>
  <c r="H1239" i="4"/>
  <c r="H1238" i="4" s="1"/>
  <c r="H1075" i="5"/>
  <c r="G475" i="3"/>
  <c r="G474" i="3" s="1"/>
  <c r="G473" i="3" s="1"/>
  <c r="G472" i="3" s="1"/>
  <c r="G471" i="3" s="1"/>
  <c r="G404" i="3" s="1"/>
  <c r="H763" i="5"/>
  <c r="G495" i="3"/>
  <c r="G493" i="3" s="1"/>
  <c r="G490" i="3" s="1"/>
  <c r="H771" i="5"/>
  <c r="G501" i="3"/>
  <c r="G500" i="3" s="1"/>
  <c r="G499" i="3" s="1"/>
  <c r="H1301" i="4"/>
  <c r="H1300" i="4" s="1"/>
  <c r="H1021" i="5"/>
  <c r="G537" i="3"/>
  <c r="G536" i="3" s="1"/>
  <c r="G535" i="3" s="1"/>
  <c r="G534" i="3" s="1"/>
  <c r="G529" i="3" s="1"/>
  <c r="H55" i="4"/>
  <c r="H54" i="4" s="1"/>
  <c r="G21" i="3"/>
  <c r="G20" i="3" s="1"/>
  <c r="G19" i="3" s="1"/>
  <c r="G13" i="3" s="1"/>
  <c r="G12" i="3" s="1"/>
  <c r="G11" i="3" s="1"/>
  <c r="H76" i="4"/>
  <c r="G66" i="3"/>
  <c r="G65" i="3" s="1"/>
  <c r="G60" i="3" s="1"/>
  <c r="G59" i="3" s="1"/>
  <c r="G58" i="3" s="1"/>
  <c r="G57" i="3" s="1"/>
  <c r="H926" i="5"/>
  <c r="G254" i="3"/>
  <c r="G253" i="3" s="1"/>
  <c r="G252" i="3" s="1"/>
  <c r="G251" i="3" s="1"/>
  <c r="G250" i="3" s="1"/>
  <c r="H223" i="4"/>
  <c r="H222" i="4" s="1"/>
  <c r="G309" i="3"/>
  <c r="G308" i="3" s="1"/>
  <c r="G307" i="3" s="1"/>
  <c r="H992" i="5"/>
  <c r="G314" i="3"/>
  <c r="G313" i="3" s="1"/>
  <c r="G312" i="3" s="1"/>
  <c r="G311" i="3" s="1"/>
  <c r="G310" i="3" s="1"/>
  <c r="H240" i="4"/>
  <c r="H239" i="4" s="1"/>
  <c r="H238" i="4" s="1"/>
  <c r="H237" i="4" s="1"/>
  <c r="H236" i="4" s="1"/>
  <c r="H820" i="5"/>
  <c r="G326" i="3"/>
  <c r="G325" i="3" s="1"/>
  <c r="G324" i="3" s="1"/>
  <c r="G323" i="3" s="1"/>
  <c r="G322" i="3" s="1"/>
  <c r="G321" i="3" s="1"/>
  <c r="G320" i="3" s="1"/>
  <c r="H291" i="4"/>
  <c r="H290" i="4" s="1"/>
  <c r="H286" i="4" s="1"/>
  <c r="H1002" i="5"/>
  <c r="G1114" i="3"/>
  <c r="G1113" i="3" s="1"/>
  <c r="G1112" i="3" s="1"/>
  <c r="H127" i="5"/>
  <c r="G223" i="3"/>
  <c r="G222" i="3" s="1"/>
  <c r="G221" i="3" s="1"/>
  <c r="G217" i="3" s="1"/>
  <c r="G216" i="3" s="1"/>
  <c r="G215" i="3" s="1"/>
  <c r="H317" i="4"/>
  <c r="H316" i="4" s="1"/>
  <c r="H890" i="5"/>
  <c r="G237" i="3"/>
  <c r="G236" i="3" s="1"/>
  <c r="G235" i="3" s="1"/>
  <c r="G234" i="3" s="1"/>
  <c r="G233" i="3" s="1"/>
  <c r="H413" i="4"/>
  <c r="H412" i="4" s="1"/>
  <c r="H411" i="4" s="1"/>
  <c r="H455" i="4"/>
  <c r="H603" i="5"/>
  <c r="G917" i="3"/>
  <c r="G916" i="3" s="1"/>
  <c r="G915" i="3" s="1"/>
  <c r="G914" i="3" s="1"/>
  <c r="H500" i="4"/>
  <c r="H499" i="4" s="1"/>
  <c r="H498" i="4" s="1"/>
  <c r="G962" i="3"/>
  <c r="G961" i="3" s="1"/>
  <c r="G960" i="3" s="1"/>
  <c r="G959" i="3" s="1"/>
  <c r="H700" i="5"/>
  <c r="G977" i="3"/>
  <c r="G976" i="3" s="1"/>
  <c r="G975" i="3" s="1"/>
  <c r="G974" i="3" s="1"/>
  <c r="H552" i="4"/>
  <c r="H551" i="4" s="1"/>
  <c r="G1014" i="3"/>
  <c r="G1013" i="3" s="1"/>
  <c r="G1012" i="3" s="1"/>
  <c r="G1001" i="3" s="1"/>
  <c r="G1000" i="3" s="1"/>
  <c r="G999" i="3" s="1"/>
  <c r="H570" i="4"/>
  <c r="H24" i="34"/>
  <c r="G1085" i="3"/>
  <c r="G1084" i="3" s="1"/>
  <c r="G1083" i="3" s="1"/>
  <c r="G1082" i="3" s="1"/>
  <c r="G1081" i="3" s="1"/>
  <c r="H221" i="34"/>
  <c r="H294" i="5"/>
  <c r="G698" i="3"/>
  <c r="G697" i="3" s="1"/>
  <c r="G696" i="3" s="1"/>
  <c r="G695" i="3" s="1"/>
  <c r="G664" i="3" s="1"/>
  <c r="G663" i="3" s="1"/>
  <c r="G614" i="3" s="1"/>
  <c r="H870" i="4"/>
  <c r="H869" i="4" s="1"/>
  <c r="H988" i="4"/>
  <c r="H987" i="4" s="1"/>
  <c r="H458" i="5"/>
  <c r="G1148" i="3"/>
  <c r="G1147" i="3" s="1"/>
  <c r="G1146" i="3" s="1"/>
  <c r="G1122" i="3" s="1"/>
  <c r="G1121" i="3" s="1"/>
  <c r="G1120" i="3" s="1"/>
  <c r="H1245" i="4"/>
  <c r="H1244" i="4" s="1"/>
  <c r="H1268" i="4"/>
  <c r="H775" i="5"/>
  <c r="G504" i="3"/>
  <c r="G503" i="3" s="1"/>
  <c r="G502" i="3" s="1"/>
  <c r="H786" i="5"/>
  <c r="G512" i="3"/>
  <c r="G511" i="3" s="1"/>
  <c r="G510" i="3" s="1"/>
  <c r="H1350" i="4"/>
  <c r="G587" i="3"/>
  <c r="G584" i="3" s="1"/>
  <c r="G583" i="3" s="1"/>
  <c r="G565" i="3" s="1"/>
  <c r="G541" i="3" s="1"/>
  <c r="H1377" i="4"/>
  <c r="H1376" i="4" s="1"/>
  <c r="H1375" i="4" s="1"/>
  <c r="H1374" i="4" s="1"/>
  <c r="H1373" i="4" s="1"/>
  <c r="H1372" i="4" s="1"/>
  <c r="H1083" i="5"/>
  <c r="G613" i="3"/>
  <c r="G612" i="3" s="1"/>
  <c r="G611" i="3" s="1"/>
  <c r="G610" i="3" s="1"/>
  <c r="G609" i="3" s="1"/>
  <c r="G608" i="3" s="1"/>
  <c r="G607" i="3" s="1"/>
  <c r="H1392" i="4"/>
  <c r="H1391" i="4" s="1"/>
  <c r="H1406" i="4"/>
  <c r="H1094" i="5"/>
  <c r="H581" i="4"/>
  <c r="H580" i="4" s="1"/>
  <c r="H579" i="4" s="1"/>
  <c r="H1166" i="4"/>
  <c r="H1221" i="4"/>
  <c r="H1258" i="4"/>
  <c r="H1265" i="4"/>
  <c r="H1264" i="4" s="1"/>
  <c r="H1363" i="4"/>
  <c r="H306" i="4"/>
  <c r="H302" i="4" s="1"/>
  <c r="H1198" i="4"/>
  <c r="H1207" i="4"/>
  <c r="H1217" i="4"/>
  <c r="H1225" i="4"/>
  <c r="H1224" i="4" s="1"/>
  <c r="H1287" i="4"/>
  <c r="H1303" i="4"/>
  <c r="H1299" i="4" s="1"/>
  <c r="H1321" i="4"/>
  <c r="H1417" i="4"/>
  <c r="H49" i="4"/>
  <c r="H71" i="4"/>
  <c r="H70" i="4" s="1"/>
  <c r="H80" i="4"/>
  <c r="H146" i="4"/>
  <c r="H448" i="4"/>
  <c r="H454" i="4"/>
  <c r="H491" i="4"/>
  <c r="H990" i="4"/>
  <c r="H1172" i="4"/>
  <c r="H1185" i="4"/>
  <c r="H1352" i="4"/>
  <c r="H1233" i="4"/>
  <c r="H1153" i="4"/>
  <c r="H1128" i="4"/>
  <c r="H1127" i="4" s="1"/>
  <c r="H1101" i="4"/>
  <c r="H1069" i="4"/>
  <c r="H1021" i="4"/>
  <c r="H803" i="4"/>
  <c r="H781" i="4"/>
  <c r="H780" i="4" s="1"/>
  <c r="H743" i="4"/>
  <c r="H698" i="4"/>
  <c r="G399" i="3" s="1"/>
  <c r="G398" i="3" s="1"/>
  <c r="G397" i="3" s="1"/>
  <c r="G388" i="3" s="1"/>
  <c r="G387" i="3" s="1"/>
  <c r="G386" i="3" s="1"/>
  <c r="H584" i="4"/>
  <c r="H565" i="4"/>
  <c r="H562" i="4"/>
  <c r="H482" i="4"/>
  <c r="H385" i="4"/>
  <c r="H280" i="4"/>
  <c r="H232" i="4"/>
  <c r="H231" i="4" s="1"/>
  <c r="H212" i="4"/>
  <c r="H205" i="4"/>
  <c r="H111" i="4"/>
  <c r="H839" i="4"/>
  <c r="H1390" i="4"/>
  <c r="H1382" i="4"/>
  <c r="H1316" i="4"/>
  <c r="H1309" i="4"/>
  <c r="H1286" i="4"/>
  <c r="H1267" i="4"/>
  <c r="H1243" i="4"/>
  <c r="H1242" i="4" s="1"/>
  <c r="H1237" i="4"/>
  <c r="H1236" i="4" s="1"/>
  <c r="H1228" i="4"/>
  <c r="H1202" i="4"/>
  <c r="H1165" i="4"/>
  <c r="H1088" i="4"/>
  <c r="H1062" i="4"/>
  <c r="H1015" i="4"/>
  <c r="H1010" i="4"/>
  <c r="H974" i="4"/>
  <c r="H964" i="4"/>
  <c r="H950" i="4"/>
  <c r="H944" i="4"/>
  <c r="H916" i="4"/>
  <c r="H912" i="4" s="1"/>
  <c r="H892" i="4"/>
  <c r="H887" i="4"/>
  <c r="H880" i="4"/>
  <c r="H872" i="4"/>
  <c r="H873" i="4"/>
  <c r="H868" i="4"/>
  <c r="H861" i="4"/>
  <c r="H835" i="4"/>
  <c r="H826" i="4"/>
  <c r="H773" i="4"/>
  <c r="H733" i="4"/>
  <c r="H717" i="4"/>
  <c r="H711" i="4"/>
  <c r="H704" i="4"/>
  <c r="H682" i="4"/>
  <c r="H663" i="4"/>
  <c r="H649" i="4"/>
  <c r="H642" i="4"/>
  <c r="H618" i="4"/>
  <c r="H610" i="4"/>
  <c r="H592" i="4"/>
  <c r="H541" i="4"/>
  <c r="H540" i="4" s="1"/>
  <c r="H539" i="4" s="1"/>
  <c r="H531" i="4"/>
  <c r="H438" i="4"/>
  <c r="H434" i="4" s="1"/>
  <c r="H410" i="4"/>
  <c r="H365" i="4"/>
  <c r="H337" i="4"/>
  <c r="H315" i="4"/>
  <c r="H314" i="4" s="1"/>
  <c r="H249" i="4"/>
  <c r="H181" i="4"/>
  <c r="H180" i="4" s="1"/>
  <c r="H179" i="4" s="1"/>
  <c r="H136" i="4"/>
  <c r="H135" i="4" s="1"/>
  <c r="H134" i="4" s="1"/>
  <c r="H106" i="4"/>
  <c r="H16" i="4"/>
  <c r="H15" i="4" s="1"/>
  <c r="H14" i="4" s="1"/>
  <c r="H13" i="4" s="1"/>
  <c r="H215" i="4"/>
  <c r="H1014" i="4"/>
  <c r="H175" i="4"/>
  <c r="H174" i="4"/>
  <c r="H633" i="4"/>
  <c r="H632" i="4"/>
  <c r="H1276" i="4"/>
  <c r="H1366" i="4"/>
  <c r="H165" i="4"/>
  <c r="H186" i="4"/>
  <c r="H275" i="4"/>
  <c r="H285" i="4"/>
  <c r="H403" i="4"/>
  <c r="H404" i="4"/>
  <c r="H1162" i="4"/>
  <c r="H332" i="4"/>
  <c r="H331" i="4"/>
  <c r="H1402" i="4"/>
  <c r="H101" i="4"/>
  <c r="H122" i="4"/>
  <c r="H154" i="4"/>
  <c r="H201" i="4"/>
  <c r="H1134" i="4"/>
  <c r="H344" i="4"/>
  <c r="H767" i="4"/>
  <c r="H766" i="4"/>
  <c r="H468" i="4"/>
  <c r="H846" i="4"/>
  <c r="H936" i="4"/>
  <c r="H1028" i="4"/>
  <c r="H1054" i="4"/>
  <c r="H381" i="4"/>
  <c r="H506" i="4"/>
  <c r="H599" i="4"/>
  <c r="H787" i="4"/>
  <c r="H1178" i="4"/>
  <c r="H1336" i="4"/>
  <c r="H1335" i="4"/>
  <c r="H1255" i="4"/>
  <c r="H1356" i="4"/>
  <c r="G1102" i="5"/>
  <c r="H1102" i="5"/>
  <c r="I1102" i="5"/>
  <c r="H12" i="4" l="1"/>
  <c r="H11" i="4" s="1"/>
  <c r="H1093" i="5"/>
  <c r="H1084" i="5"/>
  <c r="H1082" i="5"/>
  <c r="H1081" i="5" s="1"/>
  <c r="H1080" i="5" s="1"/>
  <c r="H1079" i="5" s="1"/>
  <c r="H1078" i="5" s="1"/>
  <c r="H1077" i="5" s="1"/>
  <c r="H459" i="5"/>
  <c r="H457" i="5"/>
  <c r="H456" i="5" s="1"/>
  <c r="H434" i="5" s="1"/>
  <c r="H433" i="5" s="1"/>
  <c r="H432" i="5" s="1"/>
  <c r="H407" i="5" s="1"/>
  <c r="H295" i="5"/>
  <c r="H293" i="5"/>
  <c r="H292" i="5" s="1"/>
  <c r="H291" i="5" s="1"/>
  <c r="H277" i="5" s="1"/>
  <c r="H276" i="5" s="1"/>
  <c r="H701" i="5"/>
  <c r="H699" i="5"/>
  <c r="H604" i="5"/>
  <c r="H602" i="5"/>
  <c r="H601" i="5" s="1"/>
  <c r="H891" i="5"/>
  <c r="H889" i="5"/>
  <c r="H888" i="5" s="1"/>
  <c r="H887" i="5" s="1"/>
  <c r="H886" i="5" s="1"/>
  <c r="H885" i="5" s="1"/>
  <c r="H884" i="5" s="1"/>
  <c r="G1108" i="3"/>
  <c r="G1107" i="3"/>
  <c r="G1088" i="3" s="1"/>
  <c r="G1050" i="3" s="1"/>
  <c r="H821" i="5"/>
  <c r="H819" i="5"/>
  <c r="H818" i="5" s="1"/>
  <c r="H817" i="5" s="1"/>
  <c r="H816" i="5" s="1"/>
  <c r="H815" i="5" s="1"/>
  <c r="H814" i="5" s="1"/>
  <c r="H1022" i="5"/>
  <c r="H1020" i="5"/>
  <c r="H1019" i="5" s="1"/>
  <c r="H1018" i="5" s="1"/>
  <c r="H1011" i="5" s="1"/>
  <c r="G486" i="3"/>
  <c r="G485" i="3" s="1"/>
  <c r="G476" i="3" s="1"/>
  <c r="H1076" i="5"/>
  <c r="H1074" i="5"/>
  <c r="H1073" i="5" s="1"/>
  <c r="H1072" i="5" s="1"/>
  <c r="H1071" i="5" s="1"/>
  <c r="H1070" i="5" s="1"/>
  <c r="H1069" i="5" s="1"/>
  <c r="H704" i="5"/>
  <c r="H702" i="5"/>
  <c r="H698" i="5" s="1"/>
  <c r="H697" i="5" s="1"/>
  <c r="H696" i="5" s="1"/>
  <c r="H695" i="5" s="1"/>
  <c r="H615" i="5"/>
  <c r="H613" i="5"/>
  <c r="H612" i="5" s="1"/>
  <c r="H600" i="5" s="1"/>
  <c r="H599" i="5" s="1"/>
  <c r="H585" i="5" s="1"/>
  <c r="H512" i="5" s="1"/>
  <c r="H61" i="34"/>
  <c r="H59" i="34"/>
  <c r="H58" i="34" s="1"/>
  <c r="H336" i="5"/>
  <c r="H334" i="5"/>
  <c r="H330" i="5" s="1"/>
  <c r="H329" i="5" s="1"/>
  <c r="H328" i="5"/>
  <c r="H325" i="5"/>
  <c r="H324" i="5" s="1"/>
  <c r="H323" i="5" s="1"/>
  <c r="H254" i="34"/>
  <c r="H252" i="34"/>
  <c r="H251" i="34" s="1"/>
  <c r="H250" i="34" s="1"/>
  <c r="H249" i="34" s="1"/>
  <c r="H248" i="34" s="1"/>
  <c r="H102" i="5"/>
  <c r="H100" i="5"/>
  <c r="H99" i="5" s="1"/>
  <c r="H98" i="5" s="1"/>
  <c r="H97" i="5" s="1"/>
  <c r="H96" i="5" s="1"/>
  <c r="H88" i="5" s="1"/>
  <c r="G300" i="3"/>
  <c r="G285" i="3" s="1"/>
  <c r="G284" i="3" s="1"/>
  <c r="G283" i="3" s="1"/>
  <c r="H787" i="5"/>
  <c r="H785" i="5"/>
  <c r="H784" i="5" s="1"/>
  <c r="H776" i="5"/>
  <c r="H774" i="5"/>
  <c r="H773" i="5" s="1"/>
  <c r="H222" i="34"/>
  <c r="H220" i="34"/>
  <c r="H219" i="34" s="1"/>
  <c r="H218" i="34" s="1"/>
  <c r="H204" i="34" s="1"/>
  <c r="H203" i="34" s="1"/>
  <c r="H25" i="34"/>
  <c r="H23" i="34"/>
  <c r="G894" i="3"/>
  <c r="G893" i="3" s="1"/>
  <c r="G892" i="3" s="1"/>
  <c r="G173" i="3"/>
  <c r="G10" i="3" s="1"/>
  <c r="G1275" i="3" s="1"/>
  <c r="H128" i="5"/>
  <c r="H126" i="5"/>
  <c r="H125" i="5" s="1"/>
  <c r="H120" i="5" s="1"/>
  <c r="H119" i="5" s="1"/>
  <c r="H118" i="5" s="1"/>
  <c r="H117" i="5" s="1"/>
  <c r="H1001" i="5"/>
  <c r="H1000" i="5" s="1"/>
  <c r="H995" i="5" s="1"/>
  <c r="H994" i="5" s="1"/>
  <c r="H1003" i="5"/>
  <c r="H991" i="5"/>
  <c r="H990" i="5" s="1"/>
  <c r="H989" i="5" s="1"/>
  <c r="H988" i="5" s="1"/>
  <c r="H987" i="5" s="1"/>
  <c r="H993" i="5"/>
  <c r="H925" i="5"/>
  <c r="H924" i="5" s="1"/>
  <c r="H923" i="5" s="1"/>
  <c r="H922" i="5" s="1"/>
  <c r="H921" i="5" s="1"/>
  <c r="H920" i="5" s="1"/>
  <c r="H927" i="5"/>
  <c r="H772" i="5"/>
  <c r="H770" i="5"/>
  <c r="H769" i="5" s="1"/>
  <c r="H753" i="5" s="1"/>
  <c r="H752" i="5" s="1"/>
  <c r="H751" i="5" s="1"/>
  <c r="H750" i="5" s="1"/>
  <c r="H764" i="5"/>
  <c r="H762" i="5"/>
  <c r="G385" i="3"/>
  <c r="H42" i="5"/>
  <c r="H40" i="5"/>
  <c r="H39" i="5" s="1"/>
  <c r="H38" i="5" s="1"/>
  <c r="H37" i="5" s="1"/>
  <c r="H36" i="5" s="1"/>
  <c r="H35" i="5" s="1"/>
  <c r="H34" i="5" s="1"/>
  <c r="H1349" i="4"/>
  <c r="H1184" i="4"/>
  <c r="H1206" i="4"/>
  <c r="H513" i="4"/>
  <c r="H48" i="4"/>
  <c r="H47" i="4" s="1"/>
  <c r="H453" i="4"/>
  <c r="H561" i="4"/>
  <c r="H560" i="4" s="1"/>
  <c r="H145" i="4"/>
  <c r="H1216" i="4"/>
  <c r="H1362" i="4"/>
  <c r="H1220" i="4"/>
  <c r="H1294" i="4"/>
  <c r="H1097" i="4"/>
  <c r="H963" i="4"/>
  <c r="H724" i="4"/>
  <c r="H694" i="4"/>
  <c r="H641" i="4"/>
  <c r="H617" i="4"/>
  <c r="H616" i="4" s="1"/>
  <c r="H478" i="4"/>
  <c r="H248" i="4"/>
  <c r="H230" i="4"/>
  <c r="H1389" i="4"/>
  <c r="H1381" i="4"/>
  <c r="H1308" i="4"/>
  <c r="H1164" i="4"/>
  <c r="H1126" i="4"/>
  <c r="H1087" i="4"/>
  <c r="H1020" i="4"/>
  <c r="H1019" i="4" s="1"/>
  <c r="H1009" i="4"/>
  <c r="H949" i="4"/>
  <c r="H911" i="4"/>
  <c r="H886" i="4"/>
  <c r="H879" i="4"/>
  <c r="H834" i="4"/>
  <c r="H710" i="4"/>
  <c r="H703" i="4"/>
  <c r="H681" i="4"/>
  <c r="H662" i="4"/>
  <c r="H578" i="4"/>
  <c r="H530" i="4"/>
  <c r="H409" i="4"/>
  <c r="H364" i="4"/>
  <c r="H336" i="4"/>
  <c r="H1399" i="4"/>
  <c r="H1161" i="4"/>
  <c r="H1331" i="4"/>
  <c r="H153" i="4"/>
  <c r="H247" i="4"/>
  <c r="H246" i="4" s="1"/>
  <c r="H235" i="4" s="1"/>
  <c r="H640" i="4"/>
  <c r="H935" i="4"/>
  <c r="H343" i="4"/>
  <c r="H1171" i="4"/>
  <c r="H1275" i="4"/>
  <c r="H274" i="4"/>
  <c r="H598" i="4"/>
  <c r="H1053" i="4"/>
  <c r="H845" i="4"/>
  <c r="H121" i="4"/>
  <c r="H1068" i="4"/>
  <c r="H772" i="4"/>
  <c r="H771" i="4" s="1"/>
  <c r="H723" i="4"/>
  <c r="H1133" i="4"/>
  <c r="H97" i="4"/>
  <c r="H69" i="4" s="1"/>
  <c r="H200" i="4"/>
  <c r="H301" i="4"/>
  <c r="G221" i="4"/>
  <c r="I221" i="4" s="1"/>
  <c r="G271" i="4"/>
  <c r="I271" i="4" s="1"/>
  <c r="G79" i="4"/>
  <c r="I79" i="4" s="1"/>
  <c r="G209" i="4"/>
  <c r="I209" i="4" s="1"/>
  <c r="G207" i="4"/>
  <c r="I207" i="4" s="1"/>
  <c r="G75" i="4"/>
  <c r="I75" i="4" s="1"/>
  <c r="G82" i="4"/>
  <c r="I82" i="4" s="1"/>
  <c r="G73" i="4"/>
  <c r="I73" i="4" s="1"/>
  <c r="G296" i="4"/>
  <c r="I296" i="4" s="1"/>
  <c r="G258" i="4"/>
  <c r="I258" i="4" s="1"/>
  <c r="G234" i="4"/>
  <c r="I234" i="4" s="1"/>
  <c r="G139" i="4"/>
  <c r="I139" i="4" s="1"/>
  <c r="G120" i="4"/>
  <c r="I120" i="4" s="1"/>
  <c r="G84" i="4"/>
  <c r="I84" i="4" s="1"/>
  <c r="G51" i="4"/>
  <c r="I51" i="4" s="1"/>
  <c r="G918" i="4"/>
  <c r="I918" i="4" s="1"/>
  <c r="G889" i="4"/>
  <c r="I889" i="4" s="1"/>
  <c r="G686" i="4"/>
  <c r="I686" i="4" s="1"/>
  <c r="G697" i="4"/>
  <c r="I697" i="4" s="1"/>
  <c r="G667" i="4"/>
  <c r="I667" i="4" s="1"/>
  <c r="G684" i="4"/>
  <c r="I684" i="4" s="1"/>
  <c r="G665" i="4"/>
  <c r="I665" i="4" s="1"/>
  <c r="H962" i="4" l="1"/>
  <c r="H115" i="34"/>
  <c r="H322" i="5"/>
  <c r="H321" i="5" s="1"/>
  <c r="H178" i="5" s="1"/>
  <c r="H1101" i="5" s="1"/>
  <c r="H144" i="4"/>
  <c r="H1201" i="4"/>
  <c r="H1361" i="4"/>
  <c r="H1348" i="4"/>
  <c r="H1096" i="4"/>
  <c r="H693" i="4"/>
  <c r="H433" i="4"/>
  <c r="H538" i="4"/>
  <c r="H1388" i="4"/>
  <c r="H1380" i="4"/>
  <c r="H1307" i="4"/>
  <c r="H1086" i="4"/>
  <c r="H943" i="4"/>
  <c r="H942" i="4" s="1"/>
  <c r="H885" i="4"/>
  <c r="H878" i="4"/>
  <c r="H702" i="4"/>
  <c r="H680" i="4"/>
  <c r="H661" i="4"/>
  <c r="H408" i="4"/>
  <c r="H363" i="4"/>
  <c r="H362" i="4" s="1"/>
  <c r="H116" i="4"/>
  <c r="H68" i="4" s="1"/>
  <c r="H1170" i="4"/>
  <c r="H152" i="4"/>
  <c r="H199" i="4"/>
  <c r="H1132" i="4"/>
  <c r="H273" i="4"/>
  <c r="H342" i="4"/>
  <c r="H46" i="4"/>
  <c r="H1426" i="4" s="1"/>
  <c r="H1330" i="4"/>
  <c r="H1398" i="4"/>
  <c r="H1052" i="4"/>
  <c r="H930" i="4"/>
  <c r="H844" i="4"/>
  <c r="H597" i="4"/>
  <c r="H639" i="4"/>
  <c r="H1429" i="4" s="1"/>
  <c r="H300" i="4"/>
  <c r="H615" i="4"/>
  <c r="H1251" i="4"/>
  <c r="H1152" i="4"/>
  <c r="G1024" i="4"/>
  <c r="I1024" i="4" s="1"/>
  <c r="G967" i="4"/>
  <c r="I967" i="4" s="1"/>
  <c r="G871" i="4"/>
  <c r="I871" i="4" s="1"/>
  <c r="H143" i="4" l="1"/>
  <c r="H432" i="4"/>
  <c r="H431" i="4" s="1"/>
  <c r="H1095" i="4"/>
  <c r="H692" i="4"/>
  <c r="H1387" i="4"/>
  <c r="H1379" i="4"/>
  <c r="H877" i="4"/>
  <c r="H701" i="4"/>
  <c r="H679" i="4"/>
  <c r="H660" i="4"/>
  <c r="H1428" i="4" s="1"/>
  <c r="H1397" i="4"/>
  <c r="H1151" i="4"/>
  <c r="H272" i="4"/>
  <c r="H198" i="4"/>
  <c r="H361" i="4"/>
  <c r="H884" i="4"/>
  <c r="H1169" i="4"/>
  <c r="H614" i="4"/>
  <c r="H638" i="4"/>
  <c r="H299" i="4"/>
  <c r="H1250" i="4"/>
  <c r="H591" i="4"/>
  <c r="H1051" i="4"/>
  <c r="H1306" i="4"/>
  <c r="H341" i="4"/>
  <c r="H1125" i="4"/>
  <c r="H151" i="4"/>
  <c r="G569" i="4"/>
  <c r="I569" i="4" s="1"/>
  <c r="G567" i="4"/>
  <c r="I567" i="4" s="1"/>
  <c r="G442" i="4"/>
  <c r="I442" i="4" s="1"/>
  <c r="G437" i="4"/>
  <c r="I437" i="4" s="1"/>
  <c r="G426" i="4"/>
  <c r="I426" i="4" s="1"/>
  <c r="G369" i="4"/>
  <c r="I369" i="4" s="1"/>
  <c r="G305" i="4"/>
  <c r="I305" i="4" s="1"/>
  <c r="G613" i="4"/>
  <c r="I613" i="4" s="1"/>
  <c r="G440" i="4"/>
  <c r="I440" i="4" s="1"/>
  <c r="G547" i="4"/>
  <c r="I547" i="4" s="1"/>
  <c r="G545" i="4"/>
  <c r="I545" i="4" s="1"/>
  <c r="G543" i="4"/>
  <c r="I543" i="4" s="1"/>
  <c r="G550" i="4"/>
  <c r="I550" i="4" s="1"/>
  <c r="G622" i="4"/>
  <c r="I622" i="4" s="1"/>
  <c r="G477" i="4"/>
  <c r="I477" i="4" s="1"/>
  <c r="G564" i="4"/>
  <c r="I564" i="4" s="1"/>
  <c r="G553" i="4"/>
  <c r="I553" i="4" s="1"/>
  <c r="G537" i="4"/>
  <c r="I537" i="4" s="1"/>
  <c r="G620" i="4"/>
  <c r="I620" i="4" s="1"/>
  <c r="G471" i="4"/>
  <c r="I471" i="4" s="1"/>
  <c r="G534" i="4"/>
  <c r="I534" i="4" s="1"/>
  <c r="G367" i="4"/>
  <c r="I367" i="4" s="1"/>
  <c r="G1075" i="4"/>
  <c r="I1075" i="4" s="1"/>
  <c r="G1056" i="4"/>
  <c r="I1056" i="4" s="1"/>
  <c r="G1041" i="4"/>
  <c r="I1041" i="4" s="1"/>
  <c r="G1079" i="4"/>
  <c r="I1079" i="4" s="1"/>
  <c r="G1072" i="4"/>
  <c r="I1072" i="4" s="1"/>
  <c r="G980" i="4"/>
  <c r="I980" i="4" s="1"/>
  <c r="G960" i="4"/>
  <c r="I960" i="4" s="1"/>
  <c r="G883" i="4"/>
  <c r="I883" i="4" s="1"/>
  <c r="G996" i="4"/>
  <c r="I996" i="4" s="1"/>
  <c r="G1090" i="4"/>
  <c r="I1090" i="4" s="1"/>
  <c r="G1092" i="4"/>
  <c r="I1092" i="4" s="1"/>
  <c r="G20" i="4"/>
  <c r="I20" i="4" s="1"/>
  <c r="G18" i="4"/>
  <c r="I18" i="4" s="1"/>
  <c r="G1408" i="4"/>
  <c r="I1408" i="4" s="1"/>
  <c r="G1401" i="4"/>
  <c r="I1401" i="4" s="1"/>
  <c r="G752" i="4"/>
  <c r="I752" i="4" s="1"/>
  <c r="G728" i="4"/>
  <c r="I728" i="4" s="1"/>
  <c r="G876" i="4"/>
  <c r="I876" i="4" s="1"/>
  <c r="G867" i="4"/>
  <c r="I867" i="4" s="1"/>
  <c r="G849" i="4"/>
  <c r="I849" i="4" s="1"/>
  <c r="G1180" i="4"/>
  <c r="I1180" i="4" s="1"/>
  <c r="G1105" i="4"/>
  <c r="I1105" i="4" s="1"/>
  <c r="H1431" i="4" l="1"/>
  <c r="H1094" i="4"/>
  <c r="H691" i="4"/>
  <c r="H1386" i="4"/>
  <c r="H659" i="4"/>
  <c r="H298" i="4"/>
  <c r="H1396" i="4"/>
  <c r="H1427" i="4" s="1"/>
  <c r="H961" i="4"/>
  <c r="H722" i="4"/>
  <c r="H590" i="4"/>
  <c r="H1241" i="4"/>
  <c r="H637" i="4"/>
  <c r="H265" i="4"/>
  <c r="H1150" i="4"/>
  <c r="H45" i="4"/>
  <c r="G651" i="4"/>
  <c r="I651" i="4" s="1"/>
  <c r="H658" i="4" l="1"/>
  <c r="H44" i="4"/>
  <c r="H589" i="4"/>
  <c r="H941" i="4"/>
  <c r="H1149" i="4"/>
  <c r="H1395" i="4"/>
  <c r="H1425" i="4" s="1"/>
  <c r="H709" i="4"/>
  <c r="G22" i="4"/>
  <c r="I22" i="4" s="1"/>
  <c r="H297" i="4" l="1"/>
  <c r="H1093" i="4"/>
  <c r="H1394" i="4"/>
  <c r="C147" i="1"/>
  <c r="E147" i="1" s="1"/>
  <c r="C149" i="1"/>
  <c r="E149" i="1" s="1"/>
  <c r="H1420" i="4" l="1"/>
  <c r="H1423" i="4" s="1"/>
  <c r="G783" i="4"/>
  <c r="I783" i="4" s="1"/>
  <c r="G833" i="4"/>
  <c r="I833" i="4" s="1"/>
  <c r="G644" i="4" l="1"/>
  <c r="I644" i="4" s="1"/>
  <c r="G1339" i="4" l="1"/>
  <c r="I1339" i="4" s="1"/>
  <c r="G1337" i="4"/>
  <c r="I1337" i="4" s="1"/>
  <c r="G1254" i="4"/>
  <c r="I1254" i="4" s="1"/>
  <c r="G1205" i="4"/>
  <c r="I1205" i="4" s="1"/>
  <c r="G1182" i="4"/>
  <c r="I1182" i="4" s="1"/>
  <c r="G1160" i="4"/>
  <c r="I1160" i="4" s="1"/>
  <c r="G1318" i="4"/>
  <c r="I1318" i="4" s="1"/>
  <c r="G1313" i="4"/>
  <c r="I1313" i="4" s="1"/>
  <c r="G1311" i="4"/>
  <c r="I1311" i="4" s="1"/>
  <c r="G1257" i="4"/>
  <c r="I1257" i="4" s="1"/>
  <c r="G1249" i="4"/>
  <c r="I1249" i="4" s="1"/>
  <c r="G1235" i="4"/>
  <c r="I1235" i="4" s="1"/>
  <c r="G1143" i="4"/>
  <c r="I1143" i="4" s="1"/>
  <c r="G1108" i="4"/>
  <c r="I1108" i="4" s="1"/>
  <c r="G910" i="4"/>
  <c r="I910" i="4" s="1"/>
  <c r="G799" i="4"/>
  <c r="I799" i="4" s="1"/>
  <c r="G809" i="4"/>
  <c r="I809" i="4" s="1"/>
  <c r="G776" i="4"/>
  <c r="I776" i="4" s="1"/>
  <c r="G609" i="4"/>
  <c r="I609" i="4" s="1"/>
  <c r="G204" i="4"/>
  <c r="I204" i="4" s="1"/>
  <c r="G96" i="4"/>
  <c r="I96" i="4" s="1"/>
  <c r="G264" i="4" l="1"/>
  <c r="I264" i="4" s="1"/>
  <c r="G62" i="4"/>
  <c r="I62" i="4" s="1"/>
  <c r="G452" i="4" l="1"/>
  <c r="I452" i="4" s="1"/>
  <c r="C98" i="1" l="1"/>
  <c r="E98" i="1" s="1"/>
  <c r="G548" i="5" l="1"/>
  <c r="G551" i="5"/>
  <c r="F911" i="3"/>
  <c r="F913" i="3"/>
  <c r="G1347" i="4"/>
  <c r="G1114" i="4"/>
  <c r="G1085" i="4"/>
  <c r="G1027" i="4"/>
  <c r="G1026" i="4" s="1"/>
  <c r="G970" i="4"/>
  <c r="G969" i="4" s="1"/>
  <c r="G907" i="4"/>
  <c r="G925" i="4"/>
  <c r="G852" i="4"/>
  <c r="G627" i="4"/>
  <c r="G577" i="4"/>
  <c r="G576" i="4" s="1"/>
  <c r="G377" i="4"/>
  <c r="G449" i="4"/>
  <c r="I449" i="4" s="1"/>
  <c r="G575" i="4" l="1"/>
  <c r="I575" i="4" s="1"/>
  <c r="I576" i="4"/>
  <c r="G626" i="4"/>
  <c r="I627" i="4"/>
  <c r="G924" i="4"/>
  <c r="I925" i="4"/>
  <c r="G968" i="4"/>
  <c r="I968" i="4" s="1"/>
  <c r="I969" i="4"/>
  <c r="G1025" i="4"/>
  <c r="I1025" i="4" s="1"/>
  <c r="I1026" i="4"/>
  <c r="F1244" i="3"/>
  <c r="I1085" i="4"/>
  <c r="G1346" i="4"/>
  <c r="I1347" i="4"/>
  <c r="F910" i="3"/>
  <c r="H910" i="3" s="1"/>
  <c r="H911" i="3"/>
  <c r="G550" i="5"/>
  <c r="I550" i="5" s="1"/>
  <c r="I551" i="5"/>
  <c r="G376" i="4"/>
  <c r="I377" i="4"/>
  <c r="F1038" i="3"/>
  <c r="I577" i="4"/>
  <c r="G851" i="4"/>
  <c r="I852" i="4"/>
  <c r="G906" i="4"/>
  <c r="I907" i="4"/>
  <c r="F1129" i="3"/>
  <c r="I970" i="4"/>
  <c r="G430" i="5"/>
  <c r="I1027" i="4"/>
  <c r="G1113" i="4"/>
  <c r="I1114" i="4"/>
  <c r="F912" i="3"/>
  <c r="H912" i="3" s="1"/>
  <c r="H913" i="3"/>
  <c r="F744" i="3"/>
  <c r="G549" i="5"/>
  <c r="I549" i="5" s="1"/>
  <c r="I548" i="5"/>
  <c r="F1186" i="3"/>
  <c r="F858" i="3"/>
  <c r="G417" i="5"/>
  <c r="F582" i="3"/>
  <c r="F1265" i="3"/>
  <c r="F778" i="3"/>
  <c r="G204" i="5"/>
  <c r="G528" i="5"/>
  <c r="G1084" i="4"/>
  <c r="F192" i="3"/>
  <c r="F876" i="3"/>
  <c r="G567" i="5"/>
  <c r="G552" i="5"/>
  <c r="I552" i="5" s="1"/>
  <c r="G547" i="5"/>
  <c r="G451" i="4"/>
  <c r="G214" i="4"/>
  <c r="I214" i="4" s="1"/>
  <c r="F909" i="3" l="1"/>
  <c r="H909" i="3" s="1"/>
  <c r="G546" i="5"/>
  <c r="I546" i="5" s="1"/>
  <c r="I547" i="5"/>
  <c r="G568" i="5"/>
  <c r="I568" i="5" s="1"/>
  <c r="I567" i="5"/>
  <c r="F191" i="3"/>
  <c r="H192" i="3"/>
  <c r="G529" i="5"/>
  <c r="I529" i="5" s="1"/>
  <c r="I528" i="5"/>
  <c r="F777" i="3"/>
  <c r="H778" i="3"/>
  <c r="F581" i="3"/>
  <c r="H582" i="3"/>
  <c r="F857" i="3"/>
  <c r="H858" i="3"/>
  <c r="F743" i="3"/>
  <c r="H744" i="3"/>
  <c r="G1112" i="4"/>
  <c r="I1112" i="4" s="1"/>
  <c r="I1113" i="4"/>
  <c r="G431" i="5"/>
  <c r="I431" i="5" s="1"/>
  <c r="I430" i="5"/>
  <c r="F1128" i="3"/>
  <c r="H1129" i="3"/>
  <c r="G905" i="4"/>
  <c r="I905" i="4" s="1"/>
  <c r="I906" i="4"/>
  <c r="G850" i="4"/>
  <c r="I850" i="4" s="1"/>
  <c r="I851" i="4"/>
  <c r="F1037" i="3"/>
  <c r="H1038" i="3"/>
  <c r="G375" i="4"/>
  <c r="I375" i="4" s="1"/>
  <c r="I376" i="4"/>
  <c r="G1345" i="4"/>
  <c r="I1345" i="4" s="1"/>
  <c r="I1346" i="4"/>
  <c r="F1243" i="3"/>
  <c r="H1244" i="3"/>
  <c r="G923" i="4"/>
  <c r="I923" i="4" s="1"/>
  <c r="I924" i="4"/>
  <c r="G625" i="4"/>
  <c r="I625" i="4" s="1"/>
  <c r="I626" i="4"/>
  <c r="G448" i="4"/>
  <c r="I448" i="4" s="1"/>
  <c r="I451" i="4"/>
  <c r="G429" i="5"/>
  <c r="F875" i="3"/>
  <c r="H876" i="3"/>
  <c r="G1083" i="4"/>
  <c r="I1083" i="4" s="1"/>
  <c r="I1084" i="4"/>
  <c r="G205" i="5"/>
  <c r="I205" i="5" s="1"/>
  <c r="I204" i="5"/>
  <c r="F1264" i="3"/>
  <c r="H1265" i="3"/>
  <c r="G418" i="5"/>
  <c r="I418" i="5" s="1"/>
  <c r="I417" i="5"/>
  <c r="F1185" i="3"/>
  <c r="H1186" i="3"/>
  <c r="G416" i="5"/>
  <c r="G203" i="5"/>
  <c r="G527" i="5"/>
  <c r="G213" i="4"/>
  <c r="F299" i="3"/>
  <c r="G566" i="5"/>
  <c r="G732" i="4"/>
  <c r="I732" i="4" s="1"/>
  <c r="G786" i="4"/>
  <c r="I786" i="4" s="1"/>
  <c r="G565" i="5" l="1"/>
  <c r="I565" i="5" s="1"/>
  <c r="I566" i="5"/>
  <c r="G212" i="4"/>
  <c r="I212" i="4" s="1"/>
  <c r="I213" i="4"/>
  <c r="G202" i="5"/>
  <c r="I203" i="5"/>
  <c r="G428" i="5"/>
  <c r="I428" i="5" s="1"/>
  <c r="I429" i="5"/>
  <c r="F1242" i="3"/>
  <c r="H1242" i="3" s="1"/>
  <c r="H1243" i="3"/>
  <c r="F1036" i="3"/>
  <c r="H1036" i="3" s="1"/>
  <c r="H1037" i="3"/>
  <c r="F1127" i="3"/>
  <c r="H1127" i="3" s="1"/>
  <c r="H1128" i="3"/>
  <c r="F742" i="3"/>
  <c r="H742" i="3" s="1"/>
  <c r="H743" i="3"/>
  <c r="F856" i="3"/>
  <c r="H856" i="3" s="1"/>
  <c r="H857" i="3"/>
  <c r="F580" i="3"/>
  <c r="H580" i="3" s="1"/>
  <c r="H581" i="3"/>
  <c r="F776" i="3"/>
  <c r="H776" i="3" s="1"/>
  <c r="H777" i="3"/>
  <c r="F190" i="3"/>
  <c r="H190" i="3" s="1"/>
  <c r="H191" i="3"/>
  <c r="F298" i="3"/>
  <c r="H299" i="3"/>
  <c r="G526" i="5"/>
  <c r="I526" i="5" s="1"/>
  <c r="I527" i="5"/>
  <c r="G415" i="5"/>
  <c r="I415" i="5" s="1"/>
  <c r="I416" i="5"/>
  <c r="F1184" i="3"/>
  <c r="H1184" i="3" s="1"/>
  <c r="H1185" i="3"/>
  <c r="F1263" i="3"/>
  <c r="H1263" i="3" s="1"/>
  <c r="H1264" i="3"/>
  <c r="F874" i="3"/>
  <c r="H874" i="3" s="1"/>
  <c r="H875" i="3"/>
  <c r="G779" i="4"/>
  <c r="G559" i="4"/>
  <c r="G1419" i="4"/>
  <c r="G1117" i="4"/>
  <c r="G1329" i="4"/>
  <c r="G1067" i="4"/>
  <c r="G973" i="4"/>
  <c r="G909" i="4"/>
  <c r="G678" i="4"/>
  <c r="G657" i="4"/>
  <c r="G380" i="4"/>
  <c r="G31" i="4"/>
  <c r="G894" i="4"/>
  <c r="I894" i="4" s="1"/>
  <c r="G1341" i="4"/>
  <c r="I1341" i="4" s="1"/>
  <c r="G1334" i="4"/>
  <c r="I1334" i="4" s="1"/>
  <c r="G1174" i="4"/>
  <c r="I1174" i="4" s="1"/>
  <c r="G61" i="4"/>
  <c r="G896" i="4"/>
  <c r="I896" i="4" s="1"/>
  <c r="G891" i="4"/>
  <c r="I891" i="4" s="1"/>
  <c r="G749" i="4"/>
  <c r="I749" i="4" s="1"/>
  <c r="G920" i="4"/>
  <c r="I920" i="4" s="1"/>
  <c r="G793" i="4"/>
  <c r="I793" i="4" s="1"/>
  <c r="G687" i="4"/>
  <c r="I687" i="4" s="1"/>
  <c r="G672" i="4"/>
  <c r="I672" i="4" s="1"/>
  <c r="G669" i="4"/>
  <c r="I669" i="4" s="1"/>
  <c r="G915" i="4"/>
  <c r="I915" i="4" s="1"/>
  <c r="G736" i="4"/>
  <c r="I736" i="4" s="1"/>
  <c r="G938" i="4"/>
  <c r="I938" i="4" s="1"/>
  <c r="G113" i="4"/>
  <c r="I113" i="4" s="1"/>
  <c r="G282" i="4"/>
  <c r="I282" i="4" s="1"/>
  <c r="G277" i="4"/>
  <c r="I277" i="4" s="1"/>
  <c r="G829" i="4"/>
  <c r="I829" i="4" s="1"/>
  <c r="G934" i="4"/>
  <c r="I934" i="4" s="1"/>
  <c r="G279" i="4"/>
  <c r="I279" i="4" s="1"/>
  <c r="G108" i="4"/>
  <c r="I108" i="4" s="1"/>
  <c r="G30" i="4" l="1"/>
  <c r="I31" i="4"/>
  <c r="G656" i="4"/>
  <c r="I657" i="4"/>
  <c r="G908" i="4"/>
  <c r="I908" i="4" s="1"/>
  <c r="I909" i="4"/>
  <c r="G1066" i="4"/>
  <c r="I1067" i="4"/>
  <c r="G1116" i="4"/>
  <c r="I1117" i="4"/>
  <c r="G558" i="4"/>
  <c r="I559" i="4"/>
  <c r="F671" i="3"/>
  <c r="I779" i="4"/>
  <c r="F297" i="3"/>
  <c r="H297" i="3" s="1"/>
  <c r="H298" i="3"/>
  <c r="G201" i="5"/>
  <c r="I202" i="5"/>
  <c r="G60" i="4"/>
  <c r="I60" i="4" s="1"/>
  <c r="I61" i="4"/>
  <c r="G577" i="5"/>
  <c r="I380" i="4"/>
  <c r="F85" i="3"/>
  <c r="I678" i="4"/>
  <c r="G972" i="4"/>
  <c r="I973" i="4"/>
  <c r="F564" i="3"/>
  <c r="I1329" i="4"/>
  <c r="G1418" i="4"/>
  <c r="I1419" i="4"/>
  <c r="G778" i="4"/>
  <c r="G1328" i="4"/>
  <c r="F32" i="3"/>
  <c r="G379" i="4"/>
  <c r="F861" i="3"/>
  <c r="G677" i="4"/>
  <c r="F53" i="3"/>
  <c r="F781" i="3"/>
  <c r="G193" i="5"/>
  <c r="F141" i="3"/>
  <c r="F158" i="3"/>
  <c r="F195" i="3"/>
  <c r="F1020" i="3"/>
  <c r="G421" i="5"/>
  <c r="F1132" i="3"/>
  <c r="G183" i="4"/>
  <c r="F268" i="3" l="1"/>
  <c r="I183" i="4"/>
  <c r="F1131" i="3"/>
  <c r="H1132" i="3"/>
  <c r="F1019" i="3"/>
  <c r="H1020" i="3"/>
  <c r="F157" i="3"/>
  <c r="H158" i="3"/>
  <c r="G192" i="5"/>
  <c r="I193" i="5"/>
  <c r="F52" i="3"/>
  <c r="H53" i="3"/>
  <c r="F860" i="3"/>
  <c r="H861" i="3"/>
  <c r="F31" i="3"/>
  <c r="H32" i="3"/>
  <c r="G777" i="4"/>
  <c r="I777" i="4" s="1"/>
  <c r="I778" i="4"/>
  <c r="G1417" i="4"/>
  <c r="I1417" i="4" s="1"/>
  <c r="I1418" i="4"/>
  <c r="F563" i="3"/>
  <c r="H564" i="3"/>
  <c r="G971" i="4"/>
  <c r="I971" i="4" s="1"/>
  <c r="I972" i="4"/>
  <c r="G576" i="5"/>
  <c r="I577" i="5"/>
  <c r="G200" i="5"/>
  <c r="I200" i="5" s="1"/>
  <c r="I201" i="5"/>
  <c r="F670" i="3"/>
  <c r="H671" i="3"/>
  <c r="G557" i="4"/>
  <c r="I557" i="4" s="1"/>
  <c r="I558" i="4"/>
  <c r="G1115" i="4"/>
  <c r="I1115" i="4" s="1"/>
  <c r="I1116" i="4"/>
  <c r="G1065" i="4"/>
  <c r="I1066" i="4"/>
  <c r="G655" i="4"/>
  <c r="I655" i="4" s="1"/>
  <c r="I656" i="4"/>
  <c r="G29" i="4"/>
  <c r="I29" i="4" s="1"/>
  <c r="I30" i="4"/>
  <c r="G578" i="5"/>
  <c r="I578" i="5" s="1"/>
  <c r="G420" i="5"/>
  <c r="I421" i="5"/>
  <c r="F194" i="3"/>
  <c r="H195" i="3"/>
  <c r="F140" i="3"/>
  <c r="H141" i="3"/>
  <c r="F780" i="3"/>
  <c r="H781" i="3"/>
  <c r="G676" i="4"/>
  <c r="I676" i="4" s="1"/>
  <c r="I677" i="4"/>
  <c r="G378" i="4"/>
  <c r="I378" i="4" s="1"/>
  <c r="I379" i="4"/>
  <c r="G1327" i="4"/>
  <c r="I1327" i="4" s="1"/>
  <c r="I1328" i="4"/>
  <c r="G194" i="5"/>
  <c r="I194" i="5" s="1"/>
  <c r="G1050" i="5"/>
  <c r="G182" i="4"/>
  <c r="I182" i="4" s="1"/>
  <c r="G422" i="5"/>
  <c r="I422" i="5" s="1"/>
  <c r="G1051" i="5" l="1"/>
  <c r="I1051" i="5" s="1"/>
  <c r="I1050" i="5"/>
  <c r="F1226" i="3"/>
  <c r="I1065" i="4"/>
  <c r="F669" i="3"/>
  <c r="H669" i="3" s="1"/>
  <c r="H670" i="3"/>
  <c r="G575" i="5"/>
  <c r="I575" i="5" s="1"/>
  <c r="I576" i="5"/>
  <c r="F562" i="3"/>
  <c r="H562" i="3" s="1"/>
  <c r="H563" i="3"/>
  <c r="F30" i="3"/>
  <c r="H30" i="3" s="1"/>
  <c r="H31" i="3"/>
  <c r="F859" i="3"/>
  <c r="H859" i="3" s="1"/>
  <c r="H860" i="3"/>
  <c r="F51" i="3"/>
  <c r="H51" i="3" s="1"/>
  <c r="H52" i="3"/>
  <c r="G191" i="5"/>
  <c r="I191" i="5" s="1"/>
  <c r="I192" i="5"/>
  <c r="F156" i="3"/>
  <c r="H156" i="3" s="1"/>
  <c r="H157" i="3"/>
  <c r="F1018" i="3"/>
  <c r="H1018" i="3" s="1"/>
  <c r="H1019" i="3"/>
  <c r="F1130" i="3"/>
  <c r="H1130" i="3" s="1"/>
  <c r="H1131" i="3"/>
  <c r="F267" i="3"/>
  <c r="H267" i="3" s="1"/>
  <c r="H268" i="3"/>
  <c r="F779" i="3"/>
  <c r="H779" i="3" s="1"/>
  <c r="H780" i="3"/>
  <c r="F139" i="3"/>
  <c r="H139" i="3" s="1"/>
  <c r="H140" i="3"/>
  <c r="F193" i="3"/>
  <c r="H193" i="3" s="1"/>
  <c r="H194" i="3"/>
  <c r="G419" i="5"/>
  <c r="I419" i="5" s="1"/>
  <c r="I420" i="5"/>
  <c r="G1049" i="5"/>
  <c r="I1049" i="5" s="1"/>
  <c r="G1018" i="4"/>
  <c r="I1018" i="4" s="1"/>
  <c r="G190" i="4"/>
  <c r="I190" i="4" s="1"/>
  <c r="F1225" i="3" l="1"/>
  <c r="H1226" i="3"/>
  <c r="G218" i="4"/>
  <c r="I218" i="4" s="1"/>
  <c r="G185" i="4"/>
  <c r="I185" i="4" s="1"/>
  <c r="G169" i="4"/>
  <c r="I169" i="4" s="1"/>
  <c r="G126" i="4"/>
  <c r="I126" i="4" s="1"/>
  <c r="G124" i="4"/>
  <c r="I124" i="4" s="1"/>
  <c r="F1224" i="3" l="1"/>
  <c r="H1224" i="3" s="1"/>
  <c r="H1225" i="3"/>
  <c r="G746" i="4"/>
  <c r="I746" i="4" s="1"/>
  <c r="C142" i="1" l="1"/>
  <c r="E142" i="1" s="1"/>
  <c r="C139" i="1"/>
  <c r="E139" i="1" s="1"/>
  <c r="C138" i="1"/>
  <c r="E138" i="1" s="1"/>
  <c r="C136" i="1"/>
  <c r="E136" i="1" s="1"/>
  <c r="C135" i="1"/>
  <c r="E135" i="1" s="1"/>
  <c r="C124" i="1"/>
  <c r="E124" i="1" s="1"/>
  <c r="C117" i="1"/>
  <c r="E117" i="1" s="1"/>
  <c r="C103" i="1"/>
  <c r="E103" i="1" s="1"/>
  <c r="G583" i="4" l="1"/>
  <c r="I583" i="4" s="1"/>
  <c r="G424" i="4"/>
  <c r="I424" i="4" s="1"/>
  <c r="G1058" i="4"/>
  <c r="I1058" i="4" s="1"/>
  <c r="G1298" i="4"/>
  <c r="I1298" i="4" s="1"/>
  <c r="G1103" i="4" l="1"/>
  <c r="I1103" i="4" s="1"/>
  <c r="G1100" i="4"/>
  <c r="I1100" i="4" s="1"/>
  <c r="G1067" i="5" l="1"/>
  <c r="G1068" i="5" s="1"/>
  <c r="F1177" i="3"/>
  <c r="F1176" i="3" s="1"/>
  <c r="F1175" i="3" s="1"/>
  <c r="F1174" i="3" s="1"/>
  <c r="F1173" i="3" s="1"/>
  <c r="G1017" i="4"/>
  <c r="G1016" i="4" l="1"/>
  <c r="I1017" i="4"/>
  <c r="H1177" i="3"/>
  <c r="I1067" i="5"/>
  <c r="G1066" i="5"/>
  <c r="G1065" i="5" s="1"/>
  <c r="G1064" i="5" s="1"/>
  <c r="G1063" i="5" s="1"/>
  <c r="I1068" i="5"/>
  <c r="G1015" i="4" l="1"/>
  <c r="I1016" i="4"/>
  <c r="I1066" i="5"/>
  <c r="H1176" i="3"/>
  <c r="G1045" i="4"/>
  <c r="I1045" i="4" s="1"/>
  <c r="G1000" i="4"/>
  <c r="I1000" i="4" s="1"/>
  <c r="G486" i="4"/>
  <c r="I486" i="4" s="1"/>
  <c r="G397" i="4"/>
  <c r="I397" i="4" s="1"/>
  <c r="G467" i="4"/>
  <c r="I467" i="4" s="1"/>
  <c r="G1014" i="4" l="1"/>
  <c r="I1014" i="4" s="1"/>
  <c r="I1015" i="4"/>
  <c r="H1175" i="3"/>
  <c r="I1065" i="5"/>
  <c r="G1403" i="4"/>
  <c r="I1403" i="4" s="1"/>
  <c r="G1271" i="4"/>
  <c r="I1271" i="4" s="1"/>
  <c r="G1393" i="4"/>
  <c r="I1393" i="4" s="1"/>
  <c r="G1385" i="4"/>
  <c r="I1385" i="4" s="1"/>
  <c r="G601" i="4"/>
  <c r="I601" i="4" s="1"/>
  <c r="G603" i="4"/>
  <c r="I603" i="4" s="1"/>
  <c r="G461" i="4"/>
  <c r="I461" i="4" s="1"/>
  <c r="G310" i="4"/>
  <c r="I310" i="4" s="1"/>
  <c r="G308" i="4"/>
  <c r="I308" i="4" s="1"/>
  <c r="I1063" i="5" l="1"/>
  <c r="I1064" i="5"/>
  <c r="H1173" i="3"/>
  <c r="H1174" i="3"/>
  <c r="G309" i="4"/>
  <c r="I309" i="4" s="1"/>
  <c r="F225" i="3"/>
  <c r="G130" i="5"/>
  <c r="I130" i="5" s="1"/>
  <c r="G898" i="4"/>
  <c r="I898" i="4" s="1"/>
  <c r="G922" i="4"/>
  <c r="I922" i="4" s="1"/>
  <c r="F224" i="3" l="1"/>
  <c r="H224" i="3" s="1"/>
  <c r="H225" i="3"/>
  <c r="G129" i="5"/>
  <c r="I129" i="5" s="1"/>
  <c r="G131" i="5"/>
  <c r="I131" i="5" s="1"/>
  <c r="G1034" i="4" l="1"/>
  <c r="I1034" i="4" s="1"/>
  <c r="G1293" i="4" l="1"/>
  <c r="I1293" i="4" s="1"/>
  <c r="G321" i="4" l="1"/>
  <c r="I321" i="4" s="1"/>
  <c r="G241" i="4"/>
  <c r="I241" i="4" s="1"/>
  <c r="G742" i="4" l="1"/>
  <c r="I742" i="4" s="1"/>
  <c r="F84" i="3" l="1"/>
  <c r="F83" i="3" s="1"/>
  <c r="G95" i="4"/>
  <c r="G94" i="4" l="1"/>
  <c r="I94" i="4" s="1"/>
  <c r="I95" i="4"/>
  <c r="H85" i="3"/>
  <c r="G37" i="4"/>
  <c r="I37" i="4" s="1"/>
  <c r="G224" i="4"/>
  <c r="I224" i="4" s="1"/>
  <c r="F319" i="3"/>
  <c r="F318" i="3" s="1"/>
  <c r="F317" i="3" s="1"/>
  <c r="F316" i="3" s="1"/>
  <c r="F315" i="3" s="1"/>
  <c r="G1413" i="4"/>
  <c r="I1413" i="4" s="1"/>
  <c r="H319" i="3" l="1"/>
  <c r="H83" i="3"/>
  <c r="H84" i="3"/>
  <c r="G1099" i="5"/>
  <c r="G233" i="4"/>
  <c r="G1100" i="5" l="1"/>
  <c r="I1099" i="5"/>
  <c r="I1100" i="5"/>
  <c r="G232" i="4"/>
  <c r="I233" i="4"/>
  <c r="H318" i="3"/>
  <c r="G1098" i="5"/>
  <c r="G1163" i="4"/>
  <c r="I1163" i="4" s="1"/>
  <c r="G1097" i="5" l="1"/>
  <c r="I1098" i="5"/>
  <c r="G231" i="4"/>
  <c r="I232" i="4"/>
  <c r="H317" i="3"/>
  <c r="G253" i="34"/>
  <c r="G254" i="34" s="1"/>
  <c r="G326" i="5"/>
  <c r="G328" i="5" s="1"/>
  <c r="F763" i="3"/>
  <c r="F762" i="3" s="1"/>
  <c r="F761" i="3" s="1"/>
  <c r="F760" i="3" s="1"/>
  <c r="G940" i="4"/>
  <c r="I940" i="4" s="1"/>
  <c r="G870" i="4"/>
  <c r="G1096" i="5" l="1"/>
  <c r="I1097" i="5"/>
  <c r="H763" i="3"/>
  <c r="I326" i="5"/>
  <c r="I254" i="34"/>
  <c r="I253" i="34"/>
  <c r="G230" i="4"/>
  <c r="I230" i="4" s="1"/>
  <c r="I231" i="4"/>
  <c r="H315" i="3"/>
  <c r="H316" i="3"/>
  <c r="G869" i="4"/>
  <c r="I870" i="4"/>
  <c r="G325" i="5"/>
  <c r="G324" i="5" s="1"/>
  <c r="G323" i="5" s="1"/>
  <c r="I328" i="5"/>
  <c r="G252" i="34"/>
  <c r="G251" i="34" s="1"/>
  <c r="G250" i="34" s="1"/>
  <c r="G1095" i="5" l="1"/>
  <c r="I1096" i="5"/>
  <c r="I252" i="34"/>
  <c r="I325" i="5"/>
  <c r="H762" i="3"/>
  <c r="G868" i="4"/>
  <c r="I868" i="4" s="1"/>
  <c r="I869" i="4"/>
  <c r="C63" i="1"/>
  <c r="E63" i="1" s="1"/>
  <c r="C70" i="1"/>
  <c r="E70" i="1" s="1"/>
  <c r="C68" i="1"/>
  <c r="E68" i="1" s="1"/>
  <c r="C51" i="1"/>
  <c r="E51" i="1" s="1"/>
  <c r="G1094" i="5" l="1"/>
  <c r="I1095" i="5"/>
  <c r="I250" i="34"/>
  <c r="I251" i="34"/>
  <c r="H760" i="3"/>
  <c r="H761" i="3"/>
  <c r="I323" i="5"/>
  <c r="I324" i="5"/>
  <c r="G1323" i="4"/>
  <c r="I1323" i="4" s="1"/>
  <c r="G806" i="4"/>
  <c r="I806" i="4" s="1"/>
  <c r="G529" i="4"/>
  <c r="I529" i="4" s="1"/>
  <c r="G1378" i="4"/>
  <c r="I1378" i="4" s="1"/>
  <c r="G1277" i="4"/>
  <c r="I1277" i="4" s="1"/>
  <c r="G1269" i="4"/>
  <c r="I1269" i="4" s="1"/>
  <c r="G1266" i="4"/>
  <c r="I1266" i="4" s="1"/>
  <c r="G1246" i="4"/>
  <c r="I1246" i="4" s="1"/>
  <c r="G1168" i="4"/>
  <c r="I1168" i="4" s="1"/>
  <c r="G1131" i="4"/>
  <c r="I1131" i="4" s="1"/>
  <c r="G1124" i="4"/>
  <c r="I1124" i="4" s="1"/>
  <c r="G1093" i="5" l="1"/>
  <c r="I1093" i="5" s="1"/>
  <c r="I1094" i="5"/>
  <c r="G25" i="4"/>
  <c r="I25" i="4" s="1"/>
  <c r="C23" i="1" l="1"/>
  <c r="E23" i="1" s="1"/>
  <c r="C22" i="1"/>
  <c r="E22" i="1" s="1"/>
  <c r="C21" i="1"/>
  <c r="E21" i="1" s="1"/>
  <c r="C164" i="1"/>
  <c r="E164" i="1" s="1"/>
  <c r="C163" i="1" l="1"/>
  <c r="D163" i="1"/>
  <c r="E163" i="1" l="1"/>
  <c r="G189" i="34"/>
  <c r="G190" i="34" s="1"/>
  <c r="F693" i="3"/>
  <c r="F692" i="3" s="1"/>
  <c r="F691" i="3" s="1"/>
  <c r="G262" i="5"/>
  <c r="G261" i="5" s="1"/>
  <c r="G260" i="5" s="1"/>
  <c r="G801" i="4"/>
  <c r="G800" i="4" l="1"/>
  <c r="I800" i="4" s="1"/>
  <c r="I801" i="4"/>
  <c r="H693" i="3"/>
  <c r="I262" i="5"/>
  <c r="I189" i="34"/>
  <c r="G263" i="5"/>
  <c r="I190" i="34"/>
  <c r="G188" i="34"/>
  <c r="G187" i="34" s="1"/>
  <c r="I263" i="5" l="1"/>
  <c r="I260" i="5"/>
  <c r="I261" i="5"/>
  <c r="I187" i="34"/>
  <c r="I188" i="34"/>
  <c r="H691" i="3"/>
  <c r="H692" i="3"/>
  <c r="G87" i="4"/>
  <c r="I87" i="4" s="1"/>
  <c r="G335" i="5" l="1"/>
  <c r="F891" i="3"/>
  <c r="G939" i="4"/>
  <c r="I939" i="4" s="1"/>
  <c r="G334" i="5" l="1"/>
  <c r="I334" i="5" s="1"/>
  <c r="I335" i="5"/>
  <c r="F890" i="3"/>
  <c r="H890" i="3" s="1"/>
  <c r="H891" i="3"/>
  <c r="G336" i="5"/>
  <c r="I336" i="5" s="1"/>
  <c r="G583" i="5"/>
  <c r="G573" i="5"/>
  <c r="G574" i="5" l="1"/>
  <c r="I574" i="5" s="1"/>
  <c r="I573" i="5"/>
  <c r="G582" i="5"/>
  <c r="I583" i="5"/>
  <c r="G584" i="5"/>
  <c r="I584" i="5" s="1"/>
  <c r="G572" i="5"/>
  <c r="G581" i="5" l="1"/>
  <c r="I582" i="5"/>
  <c r="G571" i="5"/>
  <c r="I572" i="5"/>
  <c r="G624" i="4"/>
  <c r="I624" i="4" s="1"/>
  <c r="G371" i="4"/>
  <c r="I371" i="4" s="1"/>
  <c r="G570" i="5" l="1"/>
  <c r="I571" i="5"/>
  <c r="G580" i="5"/>
  <c r="I581" i="5"/>
  <c r="F1035" i="3"/>
  <c r="F1034" i="3" s="1"/>
  <c r="F1033" i="3" s="1"/>
  <c r="G579" i="5" l="1"/>
  <c r="I579" i="5" s="1"/>
  <c r="I580" i="5"/>
  <c r="G569" i="5"/>
  <c r="I569" i="5" s="1"/>
  <c r="I570" i="5"/>
  <c r="H1035" i="3"/>
  <c r="F138" i="3"/>
  <c r="F137" i="3" s="1"/>
  <c r="F136" i="3" s="1"/>
  <c r="F1241" i="3"/>
  <c r="F1240" i="3" s="1"/>
  <c r="F1239" i="3" s="1"/>
  <c r="F1223" i="3"/>
  <c r="F1222" i="3" s="1"/>
  <c r="F1221" i="3" s="1"/>
  <c r="F1017" i="3"/>
  <c r="F1016" i="3" s="1"/>
  <c r="F1015" i="3" s="1"/>
  <c r="F908" i="3"/>
  <c r="F907" i="3" s="1"/>
  <c r="F906" i="3" s="1"/>
  <c r="F775" i="3"/>
  <c r="F774" i="3" s="1"/>
  <c r="F773" i="3" s="1"/>
  <c r="H1241" i="3" l="1"/>
  <c r="H1223" i="3"/>
  <c r="H1033" i="3"/>
  <c r="H1034" i="3"/>
  <c r="H1017" i="3"/>
  <c r="H908" i="3"/>
  <c r="H775" i="3"/>
  <c r="H138" i="3"/>
  <c r="F855" i="3"/>
  <c r="F854" i="3" s="1"/>
  <c r="F853" i="3" s="1"/>
  <c r="F579" i="3"/>
  <c r="F578" i="3" s="1"/>
  <c r="F577" i="3" s="1"/>
  <c r="F561" i="3"/>
  <c r="F560" i="3" s="1"/>
  <c r="F559" i="3" s="1"/>
  <c r="F189" i="3"/>
  <c r="F188" i="3" s="1"/>
  <c r="F187" i="3" s="1"/>
  <c r="F79" i="3"/>
  <c r="F78" i="3" s="1"/>
  <c r="F77" i="3" s="1"/>
  <c r="F56" i="3"/>
  <c r="F55" i="3" s="1"/>
  <c r="F54" i="3" s="1"/>
  <c r="F29" i="3"/>
  <c r="F28" i="3" s="1"/>
  <c r="F27" i="3" s="1"/>
  <c r="H855" i="3" l="1"/>
  <c r="H56" i="3"/>
  <c r="H579" i="3"/>
  <c r="H561" i="3"/>
  <c r="H189" i="3"/>
  <c r="H1239" i="3"/>
  <c r="H1240" i="3"/>
  <c r="H1221" i="3"/>
  <c r="H1222" i="3"/>
  <c r="H853" i="3"/>
  <c r="H854" i="3"/>
  <c r="H1015" i="3"/>
  <c r="H1016" i="3"/>
  <c r="H906" i="3"/>
  <c r="H907" i="3"/>
  <c r="H773" i="3"/>
  <c r="H774" i="3"/>
  <c r="H79" i="3"/>
  <c r="H29" i="3"/>
  <c r="H136" i="3"/>
  <c r="H137" i="3"/>
  <c r="G1415" i="4"/>
  <c r="G1343" i="4"/>
  <c r="G1063" i="4"/>
  <c r="G27" i="4"/>
  <c r="G58" i="4"/>
  <c r="G89" i="4"/>
  <c r="G373" i="4"/>
  <c r="G446" i="4"/>
  <c r="G555" i="4"/>
  <c r="G674" i="4"/>
  <c r="G903" i="4"/>
  <c r="G1325" i="4"/>
  <c r="G1110" i="4"/>
  <c r="G1081" i="4"/>
  <c r="G1080" i="4" l="1"/>
  <c r="I1080" i="4" s="1"/>
  <c r="I1081" i="4"/>
  <c r="G1324" i="4"/>
  <c r="I1324" i="4" s="1"/>
  <c r="I1325" i="4"/>
  <c r="G673" i="4"/>
  <c r="I673" i="4" s="1"/>
  <c r="I674" i="4"/>
  <c r="G445" i="4"/>
  <c r="I445" i="4" s="1"/>
  <c r="I446" i="4"/>
  <c r="G88" i="4"/>
  <c r="I88" i="4" s="1"/>
  <c r="I89" i="4"/>
  <c r="G26" i="4"/>
  <c r="I26" i="4" s="1"/>
  <c r="I27" i="4"/>
  <c r="G1342" i="4"/>
  <c r="I1342" i="4" s="1"/>
  <c r="I1343" i="4"/>
  <c r="G1109" i="4"/>
  <c r="I1109" i="4" s="1"/>
  <c r="I1110" i="4"/>
  <c r="G902" i="4"/>
  <c r="I902" i="4" s="1"/>
  <c r="I903" i="4"/>
  <c r="G554" i="4"/>
  <c r="I554" i="4" s="1"/>
  <c r="I555" i="4"/>
  <c r="G372" i="4"/>
  <c r="I372" i="4" s="1"/>
  <c r="I373" i="4"/>
  <c r="G57" i="4"/>
  <c r="I57" i="4" s="1"/>
  <c r="I58" i="4"/>
  <c r="G1062" i="4"/>
  <c r="I1062" i="4" s="1"/>
  <c r="I1063" i="4"/>
  <c r="G1414" i="4"/>
  <c r="I1414" i="4" s="1"/>
  <c r="I1415" i="4"/>
  <c r="H54" i="3"/>
  <c r="H55" i="3"/>
  <c r="H577" i="3"/>
  <c r="H578" i="3"/>
  <c r="H559" i="3"/>
  <c r="H560" i="3"/>
  <c r="H187" i="3"/>
  <c r="H188" i="3"/>
  <c r="H77" i="3"/>
  <c r="H78" i="3"/>
  <c r="H27" i="3"/>
  <c r="H28" i="3"/>
  <c r="G631" i="4"/>
  <c r="I631" i="4" s="1"/>
  <c r="G474" i="4"/>
  <c r="I474" i="4" s="1"/>
  <c r="G1231" i="4"/>
  <c r="I1231" i="4" s="1"/>
  <c r="G856" i="4"/>
  <c r="I856" i="4" s="1"/>
  <c r="G843" i="4" l="1"/>
  <c r="I843" i="4" s="1"/>
  <c r="G770" i="4"/>
  <c r="I770" i="4" s="1"/>
  <c r="G901" i="4"/>
  <c r="I901" i="4" s="1"/>
  <c r="G813" i="4"/>
  <c r="I813" i="4" s="1"/>
  <c r="G817" i="4"/>
  <c r="I817" i="4" s="1"/>
  <c r="G1240" i="4"/>
  <c r="I1240" i="4" s="1"/>
  <c r="G384" i="4"/>
  <c r="I384" i="4" s="1"/>
  <c r="G444" i="4"/>
  <c r="I444" i="4" s="1"/>
  <c r="G393" i="4"/>
  <c r="I393" i="4" s="1"/>
  <c r="G318" i="4"/>
  <c r="I318" i="4" s="1"/>
  <c r="C167" i="1" l="1"/>
  <c r="D99" i="1"/>
  <c r="C99" i="1"/>
  <c r="C123" i="1"/>
  <c r="E123" i="1" s="1"/>
  <c r="E99" i="1" l="1"/>
  <c r="F202" i="3"/>
  <c r="H202" i="3" s="1"/>
  <c r="G700" i="4" l="1"/>
  <c r="I700" i="4" s="1"/>
  <c r="G989" i="4"/>
  <c r="I989" i="4" s="1"/>
  <c r="G34" i="34" l="1"/>
  <c r="G35" i="34" s="1"/>
  <c r="G31" i="34"/>
  <c r="G32" i="34" s="1"/>
  <c r="I35" i="34" l="1"/>
  <c r="I34" i="34"/>
  <c r="G30" i="34"/>
  <c r="G33" i="34"/>
  <c r="G706" i="4"/>
  <c r="I706" i="4" s="1"/>
  <c r="G708" i="4"/>
  <c r="I708" i="4" s="1"/>
  <c r="I33" i="34" l="1"/>
  <c r="G29" i="34"/>
  <c r="F1100" i="3"/>
  <c r="F1099" i="3" s="1"/>
  <c r="F1098" i="3"/>
  <c r="F1097" i="3" s="1"/>
  <c r="G283" i="4"/>
  <c r="I283" i="4" s="1"/>
  <c r="G281" i="4"/>
  <c r="I281" i="4" s="1"/>
  <c r="H1099" i="3" l="1"/>
  <c r="H1100" i="3"/>
  <c r="G280" i="4"/>
  <c r="I280" i="4" s="1"/>
  <c r="I31" i="34"/>
  <c r="F1096" i="3"/>
  <c r="H1098" i="3" l="1"/>
  <c r="I32" i="34"/>
  <c r="G654" i="4"/>
  <c r="I654" i="4" s="1"/>
  <c r="G646" i="4"/>
  <c r="I646" i="4" s="1"/>
  <c r="I29" i="34" l="1"/>
  <c r="I30" i="34"/>
  <c r="H1096" i="3"/>
  <c r="H1097" i="3"/>
  <c r="G292" i="4"/>
  <c r="I292" i="4" s="1"/>
  <c r="G142" i="4"/>
  <c r="I142" i="4" s="1"/>
  <c r="F41" i="3" l="1"/>
  <c r="H41" i="3" s="1"/>
  <c r="G1404" i="4"/>
  <c r="I1404" i="4" s="1"/>
  <c r="G420" i="4" l="1"/>
  <c r="I420" i="4" s="1"/>
  <c r="G402" i="4" l="1"/>
  <c r="I402" i="4" s="1"/>
  <c r="G352" i="4" l="1"/>
  <c r="I352" i="4" s="1"/>
  <c r="G596" i="4" l="1"/>
  <c r="I596" i="4" s="1"/>
  <c r="F1148" i="3" l="1"/>
  <c r="F1147" i="3" l="1"/>
  <c r="F1146" i="3" s="1"/>
  <c r="H1148" i="3"/>
  <c r="F82" i="3"/>
  <c r="F81" i="3" s="1"/>
  <c r="F80" i="3" s="1"/>
  <c r="G92" i="4"/>
  <c r="G91" i="4" l="1"/>
  <c r="I91" i="4" s="1"/>
  <c r="I92" i="4"/>
  <c r="H1146" i="3"/>
  <c r="H1147" i="3"/>
  <c r="H82" i="3"/>
  <c r="G685" i="4"/>
  <c r="I685" i="4" s="1"/>
  <c r="H80" i="3" l="1"/>
  <c r="H81" i="3"/>
  <c r="G458" i="5"/>
  <c r="G988" i="4"/>
  <c r="G457" i="5" l="1"/>
  <c r="I458" i="5"/>
  <c r="G987" i="4"/>
  <c r="I987" i="4" s="1"/>
  <c r="I988" i="4"/>
  <c r="G459" i="5"/>
  <c r="I459" i="5" s="1"/>
  <c r="G456" i="5" l="1"/>
  <c r="I456" i="5" s="1"/>
  <c r="I457" i="5"/>
  <c r="C109" i="1"/>
  <c r="E109" i="1" s="1"/>
  <c r="C107" i="1" l="1"/>
  <c r="E107" i="1" s="1"/>
  <c r="C60" i="1"/>
  <c r="E60" i="1" s="1"/>
  <c r="C59" i="1"/>
  <c r="E59" i="1" s="1"/>
  <c r="C57" i="1"/>
  <c r="E57" i="1" s="1"/>
  <c r="C56" i="1"/>
  <c r="E56" i="1" s="1"/>
  <c r="C16" i="1"/>
  <c r="E16" i="1" s="1"/>
  <c r="G1368" i="4" l="1"/>
  <c r="I1368" i="4" s="1"/>
  <c r="G335" i="4" l="1"/>
  <c r="I335" i="4" s="1"/>
  <c r="F601" i="3" l="1"/>
  <c r="F600" i="3" l="1"/>
  <c r="F599" i="3" s="1"/>
  <c r="H601" i="3"/>
  <c r="H599" i="3"/>
  <c r="G1370" i="4"/>
  <c r="G1369" i="4" l="1"/>
  <c r="I1369" i="4" s="1"/>
  <c r="I1370" i="4"/>
  <c r="H600" i="3"/>
  <c r="G230" i="34"/>
  <c r="G231" i="34" s="1"/>
  <c r="G303" i="5"/>
  <c r="G302" i="5" s="1"/>
  <c r="G301" i="5" s="1"/>
  <c r="F756" i="3"/>
  <c r="F755" i="3" s="1"/>
  <c r="F754" i="3" s="1"/>
  <c r="G863" i="4"/>
  <c r="G862" i="4" l="1"/>
  <c r="I862" i="4" s="1"/>
  <c r="I863" i="4"/>
  <c r="H756" i="3"/>
  <c r="I303" i="5"/>
  <c r="I230" i="34"/>
  <c r="G304" i="5"/>
  <c r="I231" i="34"/>
  <c r="G229" i="34"/>
  <c r="G228" i="34" s="1"/>
  <c r="I304" i="5" l="1"/>
  <c r="I301" i="5"/>
  <c r="I302" i="5"/>
  <c r="I228" i="34"/>
  <c r="I229" i="34"/>
  <c r="H754" i="3"/>
  <c r="H755" i="3"/>
  <c r="G74" i="34"/>
  <c r="I74" i="34" s="1"/>
  <c r="G1061" i="4" l="1"/>
  <c r="I1061" i="4" s="1"/>
  <c r="G1050" i="4"/>
  <c r="I1050" i="4" s="1"/>
  <c r="G1013" i="4"/>
  <c r="I1013" i="4" s="1"/>
  <c r="G1353" i="4" l="1"/>
  <c r="G263" i="4"/>
  <c r="F588" i="3" l="1"/>
  <c r="H588" i="3" s="1"/>
  <c r="I1353" i="4"/>
  <c r="G262" i="4"/>
  <c r="I263" i="4"/>
  <c r="G387" i="4"/>
  <c r="G261" i="4" l="1"/>
  <c r="I262" i="4"/>
  <c r="G319" i="34"/>
  <c r="I319" i="34" s="1"/>
  <c r="I387" i="4"/>
  <c r="G320" i="34" l="1"/>
  <c r="I320" i="34" s="1"/>
  <c r="G260" i="4"/>
  <c r="I261" i="4"/>
  <c r="G318" i="34"/>
  <c r="G61" i="5"/>
  <c r="G317" i="34" l="1"/>
  <c r="I317" i="34" s="1"/>
  <c r="I318" i="34"/>
  <c r="G259" i="4"/>
  <c r="I259" i="4" s="1"/>
  <c r="I260" i="4"/>
  <c r="G73" i="34"/>
  <c r="I73" i="34" s="1"/>
  <c r="C12" i="1" l="1"/>
  <c r="C11" i="1" l="1"/>
  <c r="E12" i="1"/>
  <c r="F598" i="3" l="1"/>
  <c r="F597" i="3" s="1"/>
  <c r="G1367" i="4"/>
  <c r="G1366" i="4" l="1"/>
  <c r="I1366" i="4" s="1"/>
  <c r="I1367" i="4"/>
  <c r="H597" i="3"/>
  <c r="H598" i="3"/>
  <c r="F596" i="3"/>
  <c r="H596" i="3" l="1"/>
  <c r="G1354" i="4"/>
  <c r="I1354" i="4" s="1"/>
  <c r="G1302" i="4"/>
  <c r="I1302" i="4" s="1"/>
  <c r="G75" i="34"/>
  <c r="G72" i="34" l="1"/>
  <c r="I72" i="34" s="1"/>
  <c r="I75" i="34"/>
  <c r="G45" i="5"/>
  <c r="G68" i="34"/>
  <c r="I68" i="34" s="1"/>
  <c r="G518" i="4"/>
  <c r="I518" i="4" s="1"/>
  <c r="G407" i="4"/>
  <c r="I407" i="4" s="1"/>
  <c r="G44" i="5" l="1"/>
  <c r="I45" i="5"/>
  <c r="G46" i="5"/>
  <c r="I46" i="5" s="1"/>
  <c r="G69" i="34"/>
  <c r="I69" i="34" s="1"/>
  <c r="G67" i="34"/>
  <c r="F824" i="3"/>
  <c r="G66" i="34" l="1"/>
  <c r="I66" i="34" s="1"/>
  <c r="I67" i="34"/>
  <c r="G43" i="5"/>
  <c r="I43" i="5" s="1"/>
  <c r="I44" i="5"/>
  <c r="G62" i="5"/>
  <c r="G60" i="5"/>
  <c r="G59" i="5" s="1"/>
  <c r="G57" i="5"/>
  <c r="G58" i="5" s="1"/>
  <c r="I57" i="5" l="1"/>
  <c r="I61" i="5"/>
  <c r="I58" i="5"/>
  <c r="I62" i="5"/>
  <c r="G56" i="5"/>
  <c r="G55" i="5" s="1"/>
  <c r="I55" i="5" l="1"/>
  <c r="I56" i="5"/>
  <c r="I59" i="5"/>
  <c r="I60" i="5"/>
  <c r="G1384" i="4"/>
  <c r="G959" i="4"/>
  <c r="G1383" i="4" l="1"/>
  <c r="I1384" i="4"/>
  <c r="G958" i="4"/>
  <c r="I959" i="4"/>
  <c r="G882" i="4"/>
  <c r="G881" i="4" l="1"/>
  <c r="I882" i="4"/>
  <c r="G957" i="4"/>
  <c r="I958" i="4"/>
  <c r="G1382" i="4"/>
  <c r="I1383" i="4"/>
  <c r="G929" i="4"/>
  <c r="I929" i="4" s="1"/>
  <c r="G902" i="5"/>
  <c r="F990" i="3"/>
  <c r="G528" i="4"/>
  <c r="F989" i="3" l="1"/>
  <c r="H990" i="3"/>
  <c r="G1381" i="4"/>
  <c r="I1382" i="4"/>
  <c r="G956" i="4"/>
  <c r="I957" i="4"/>
  <c r="G880" i="4"/>
  <c r="I881" i="4"/>
  <c r="G527" i="4"/>
  <c r="I527" i="4" s="1"/>
  <c r="I528" i="4"/>
  <c r="G903" i="5"/>
  <c r="I903" i="5" s="1"/>
  <c r="I902" i="5"/>
  <c r="G901" i="5"/>
  <c r="F484" i="3"/>
  <c r="G900" i="5" l="1"/>
  <c r="I900" i="5" s="1"/>
  <c r="I901" i="5"/>
  <c r="G879" i="4"/>
  <c r="I879" i="4" s="1"/>
  <c r="I880" i="4"/>
  <c r="G955" i="4"/>
  <c r="I956" i="4"/>
  <c r="G1380" i="4"/>
  <c r="I1381" i="4"/>
  <c r="F988" i="3"/>
  <c r="H988" i="3" s="1"/>
  <c r="H989" i="3"/>
  <c r="F483" i="3"/>
  <c r="H484" i="3"/>
  <c r="G1248" i="4"/>
  <c r="F309" i="3"/>
  <c r="G223" i="4"/>
  <c r="G222" i="4" l="1"/>
  <c r="I222" i="4" s="1"/>
  <c r="I223" i="4"/>
  <c r="G1247" i="4"/>
  <c r="I1247" i="4" s="1"/>
  <c r="I1248" i="4"/>
  <c r="F482" i="3"/>
  <c r="H482" i="3" s="1"/>
  <c r="H483" i="3"/>
  <c r="G1379" i="4"/>
  <c r="I1379" i="4" s="1"/>
  <c r="I1380" i="4"/>
  <c r="G954" i="4"/>
  <c r="I954" i="4" s="1"/>
  <c r="I955" i="4"/>
  <c r="F308" i="3"/>
  <c r="H309" i="3"/>
  <c r="G1009" i="5"/>
  <c r="F1119" i="3"/>
  <c r="G295" i="4"/>
  <c r="G294" i="4" l="1"/>
  <c r="I295" i="4"/>
  <c r="F307" i="3"/>
  <c r="H307" i="3" s="1"/>
  <c r="H308" i="3"/>
  <c r="F1118" i="3"/>
  <c r="H1119" i="3"/>
  <c r="G1010" i="5"/>
  <c r="I1010" i="5" s="1"/>
  <c r="I1009" i="5"/>
  <c r="G1008" i="5"/>
  <c r="G103" i="4"/>
  <c r="I103" i="4" s="1"/>
  <c r="G105" i="4"/>
  <c r="I105" i="4" s="1"/>
  <c r="G56" i="4"/>
  <c r="I56" i="4" s="1"/>
  <c r="G293" i="4" l="1"/>
  <c r="I293" i="4" s="1"/>
  <c r="I294" i="4"/>
  <c r="G1007" i="5"/>
  <c r="I1008" i="5"/>
  <c r="F1117" i="3"/>
  <c r="H1118" i="3"/>
  <c r="F555" i="3"/>
  <c r="G1319" i="4"/>
  <c r="I1319" i="4" s="1"/>
  <c r="G1077" i="4"/>
  <c r="I1077" i="4" s="1"/>
  <c r="F554" i="3" l="1"/>
  <c r="H554" i="3" s="1"/>
  <c r="H555" i="3"/>
  <c r="F1116" i="3"/>
  <c r="H1117" i="3"/>
  <c r="G1006" i="5"/>
  <c r="I1007" i="5"/>
  <c r="G1289" i="4"/>
  <c r="I1289" i="4" s="1"/>
  <c r="G1005" i="5" l="1"/>
  <c r="I1006" i="5"/>
  <c r="F1115" i="3"/>
  <c r="H1115" i="3" s="1"/>
  <c r="H1116" i="3"/>
  <c r="C125" i="1"/>
  <c r="E125" i="1" s="1"/>
  <c r="C120" i="1"/>
  <c r="E120" i="1" s="1"/>
  <c r="G1004" i="5" l="1"/>
  <c r="I1004" i="5" s="1"/>
  <c r="I1005" i="5"/>
  <c r="G1305" i="4"/>
  <c r="G1025" i="5" l="1"/>
  <c r="G1026" i="5" s="1"/>
  <c r="I1305" i="4"/>
  <c r="G1024" i="5"/>
  <c r="G1023" i="5" s="1"/>
  <c r="I1025" i="5" l="1"/>
  <c r="I1026" i="5"/>
  <c r="I1023" i="5" l="1"/>
  <c r="I1024" i="5"/>
  <c r="G760" i="4"/>
  <c r="I760" i="4" s="1"/>
  <c r="G756" i="4"/>
  <c r="I756" i="4" s="1"/>
  <c r="C122" i="1" l="1"/>
  <c r="E122" i="1" s="1"/>
  <c r="C118" i="1"/>
  <c r="E118" i="1" s="1"/>
  <c r="C116" i="1"/>
  <c r="C113" i="1"/>
  <c r="E113" i="1" s="1"/>
  <c r="C115" i="1" l="1"/>
  <c r="E116" i="1"/>
  <c r="G287" i="34"/>
  <c r="G288" i="34" s="1"/>
  <c r="G363" i="5"/>
  <c r="G364" i="5" s="1"/>
  <c r="F725" i="3"/>
  <c r="F724" i="3" s="1"/>
  <c r="F723" i="3" s="1"/>
  <c r="F722" i="3" s="1"/>
  <c r="G832" i="4"/>
  <c r="G1004" i="4"/>
  <c r="I1004" i="4" s="1"/>
  <c r="G831" i="4" l="1"/>
  <c r="I832" i="4"/>
  <c r="H725" i="3"/>
  <c r="I288" i="34"/>
  <c r="I287" i="34"/>
  <c r="I364" i="5"/>
  <c r="I363" i="5"/>
  <c r="G362" i="5"/>
  <c r="G361" i="5" s="1"/>
  <c r="G360" i="5" s="1"/>
  <c r="G359" i="5" s="1"/>
  <c r="G358" i="5" s="1"/>
  <c r="G286" i="34"/>
  <c r="G285" i="34" s="1"/>
  <c r="G284" i="34" s="1"/>
  <c r="G283" i="34" s="1"/>
  <c r="G282" i="34" s="1"/>
  <c r="G830" i="4" l="1"/>
  <c r="I830" i="4" s="1"/>
  <c r="I831" i="4"/>
  <c r="I362" i="5"/>
  <c r="I286" i="34"/>
  <c r="H724" i="3"/>
  <c r="G1021" i="5"/>
  <c r="G1022" i="5" s="1"/>
  <c r="I1022" i="5" l="1"/>
  <c r="I1021" i="5"/>
  <c r="I285" i="34"/>
  <c r="H722" i="3"/>
  <c r="H723" i="3"/>
  <c r="I361" i="5"/>
  <c r="G1020" i="5"/>
  <c r="G1019" i="5" s="1"/>
  <c r="G1018" i="5" s="1"/>
  <c r="I1020" i="5" l="1"/>
  <c r="I360" i="5"/>
  <c r="I284" i="34"/>
  <c r="G251" i="4"/>
  <c r="I251" i="4" s="1"/>
  <c r="J28" i="25"/>
  <c r="H28" i="25" s="1"/>
  <c r="J5" i="25"/>
  <c r="G18" i="34"/>
  <c r="I18" i="34" s="1"/>
  <c r="G15" i="34"/>
  <c r="I15" i="34" s="1"/>
  <c r="G115" i="4"/>
  <c r="I115" i="4" s="1"/>
  <c r="I1018" i="5" l="1"/>
  <c r="I1019" i="5"/>
  <c r="I282" i="34"/>
  <c r="I283" i="34"/>
  <c r="I358" i="5"/>
  <c r="I359" i="5"/>
  <c r="C111" i="1"/>
  <c r="E111" i="1" s="1"/>
  <c r="C166" i="1" l="1"/>
  <c r="C165" i="1" l="1"/>
  <c r="E166" i="1"/>
  <c r="C110" i="1"/>
  <c r="E110" i="1" s="1"/>
  <c r="C146" i="1"/>
  <c r="D146" i="1"/>
  <c r="D148" i="1"/>
  <c r="D152" i="1"/>
  <c r="C152" i="1"/>
  <c r="D108" i="1"/>
  <c r="E146" i="1" l="1"/>
  <c r="E152" i="1"/>
  <c r="C108" i="1"/>
  <c r="E108" i="1" s="1"/>
  <c r="H24" i="25"/>
  <c r="J25" i="25" l="1"/>
  <c r="E25" i="25" s="1"/>
  <c r="G1016" i="5" l="1"/>
  <c r="G1015" i="5" s="1"/>
  <c r="G1014" i="5" s="1"/>
  <c r="G1013" i="5" s="1"/>
  <c r="G1012" i="5" s="1"/>
  <c r="G1011" i="5" s="1"/>
  <c r="I1016" i="5" l="1"/>
  <c r="I1015" i="5"/>
  <c r="G1017" i="5"/>
  <c r="I1017" i="5" s="1"/>
  <c r="I1014" i="5" l="1"/>
  <c r="G972" i="5"/>
  <c r="G973" i="5" s="1"/>
  <c r="G486" i="5"/>
  <c r="G487" i="5" s="1"/>
  <c r="G474" i="5"/>
  <c r="G473" i="5" s="1"/>
  <c r="G472" i="5" s="1"/>
  <c r="G471" i="5" s="1"/>
  <c r="G450" i="5"/>
  <c r="G446" i="5"/>
  <c r="G445" i="5" s="1"/>
  <c r="G444" i="5" s="1"/>
  <c r="G426" i="5"/>
  <c r="G425" i="5" s="1"/>
  <c r="G424" i="5" s="1"/>
  <c r="G423" i="5" s="1"/>
  <c r="F1209" i="3"/>
  <c r="F1208" i="3" s="1"/>
  <c r="F1207" i="3" s="1"/>
  <c r="F1206" i="3" s="1"/>
  <c r="F1205" i="3" s="1"/>
  <c r="F1204" i="3"/>
  <c r="F1203" i="3" s="1"/>
  <c r="F1202" i="3" s="1"/>
  <c r="F1201" i="3" s="1"/>
  <c r="F1200" i="3"/>
  <c r="F1199" i="3" s="1"/>
  <c r="F1198" i="3" s="1"/>
  <c r="F1197" i="3" s="1"/>
  <c r="F1196" i="3"/>
  <c r="F1195" i="3" s="1"/>
  <c r="F1194" i="3" s="1"/>
  <c r="F1193" i="3"/>
  <c r="F1192" i="3" s="1"/>
  <c r="F1191" i="3" s="1"/>
  <c r="F1183" i="3"/>
  <c r="F1182" i="3" s="1"/>
  <c r="F1181" i="3" s="1"/>
  <c r="F1180" i="3" s="1"/>
  <c r="F1189" i="3"/>
  <c r="F1188" i="3" s="1"/>
  <c r="G1036" i="4"/>
  <c r="G1033" i="4"/>
  <c r="G1030" i="4"/>
  <c r="I450" i="5" l="1"/>
  <c r="G1029" i="4"/>
  <c r="I1029" i="4" s="1"/>
  <c r="I1030" i="4"/>
  <c r="G1035" i="4"/>
  <c r="I1035" i="4" s="1"/>
  <c r="I1036" i="4"/>
  <c r="H1188" i="3"/>
  <c r="H1189" i="3"/>
  <c r="G1032" i="4"/>
  <c r="I1032" i="4" s="1"/>
  <c r="I1033" i="4"/>
  <c r="I1013" i="5"/>
  <c r="I487" i="5"/>
  <c r="I486" i="5"/>
  <c r="H1204" i="3"/>
  <c r="H1200" i="3"/>
  <c r="I474" i="5"/>
  <c r="H1196" i="3"/>
  <c r="H1193" i="3"/>
  <c r="I446" i="5"/>
  <c r="I426" i="5"/>
  <c r="H1183" i="3"/>
  <c r="H1209" i="3"/>
  <c r="I973" i="5"/>
  <c r="I972" i="5"/>
  <c r="G971" i="5"/>
  <c r="G970" i="5" s="1"/>
  <c r="G969" i="5" s="1"/>
  <c r="G485" i="5"/>
  <c r="G484" i="5" s="1"/>
  <c r="G483" i="5" s="1"/>
  <c r="G475" i="5"/>
  <c r="G447" i="5"/>
  <c r="G427" i="5"/>
  <c r="F1187" i="3"/>
  <c r="F1179" i="3" s="1"/>
  <c r="F1178" i="3" s="1"/>
  <c r="D50" i="2" s="1"/>
  <c r="G1049" i="4"/>
  <c r="G1044" i="4"/>
  <c r="G1040" i="4"/>
  <c r="I447" i="5" l="1"/>
  <c r="I475" i="5"/>
  <c r="G1039" i="4"/>
  <c r="I1040" i="4"/>
  <c r="G1048" i="4"/>
  <c r="I1049" i="4"/>
  <c r="I427" i="5"/>
  <c r="G1043" i="4"/>
  <c r="I1044" i="4"/>
  <c r="G1028" i="4"/>
  <c r="I1028" i="4" s="1"/>
  <c r="I1011" i="5"/>
  <c r="I1012" i="5"/>
  <c r="H1203" i="3"/>
  <c r="I485" i="5"/>
  <c r="I473" i="5"/>
  <c r="H1199" i="3"/>
  <c r="H1194" i="3"/>
  <c r="H1195" i="3"/>
  <c r="I444" i="5"/>
  <c r="I445" i="5"/>
  <c r="H1192" i="3"/>
  <c r="H1182" i="3"/>
  <c r="I425" i="5"/>
  <c r="I971" i="5"/>
  <c r="H1208" i="3"/>
  <c r="G1023" i="4"/>
  <c r="G1022" i="4" l="1"/>
  <c r="I1022" i="4" s="1"/>
  <c r="I1023" i="4"/>
  <c r="G1047" i="4"/>
  <c r="I1048" i="4"/>
  <c r="G1038" i="4"/>
  <c r="I1038" i="4" s="1"/>
  <c r="I1039" i="4"/>
  <c r="G1042" i="4"/>
  <c r="I1042" i="4" s="1"/>
  <c r="I1043" i="4"/>
  <c r="I483" i="5"/>
  <c r="I484" i="5"/>
  <c r="H1201" i="3"/>
  <c r="H1202" i="3"/>
  <c r="H1197" i="3"/>
  <c r="H1198" i="3"/>
  <c r="I471" i="5"/>
  <c r="I472" i="5"/>
  <c r="H1191" i="3"/>
  <c r="H1187" i="3"/>
  <c r="I423" i="5"/>
  <c r="I424" i="5"/>
  <c r="H1181" i="3"/>
  <c r="I969" i="5"/>
  <c r="I970" i="5"/>
  <c r="H1207" i="3"/>
  <c r="G1021" i="4"/>
  <c r="G1020" i="4" l="1"/>
  <c r="I1021" i="4"/>
  <c r="G1046" i="4"/>
  <c r="I1046" i="4" s="1"/>
  <c r="I1047" i="4"/>
  <c r="H1180" i="3"/>
  <c r="H1179" i="3"/>
  <c r="H1206" i="3"/>
  <c r="G51" i="34"/>
  <c r="G50" i="34" s="1"/>
  <c r="G49" i="34" s="1"/>
  <c r="G48" i="34" s="1"/>
  <c r="G47" i="34" s="1"/>
  <c r="G46" i="34" s="1"/>
  <c r="G45" i="34" s="1"/>
  <c r="G27" i="34"/>
  <c r="G26" i="34" s="1"/>
  <c r="G22" i="34" s="1"/>
  <c r="G21" i="34" s="1"/>
  <c r="G20" i="34" s="1"/>
  <c r="G24" i="34"/>
  <c r="G25" i="34" s="1"/>
  <c r="F1087" i="3"/>
  <c r="F1085" i="3"/>
  <c r="G707" i="4"/>
  <c r="I707" i="4" s="1"/>
  <c r="G705" i="4"/>
  <c r="I705" i="4" s="1"/>
  <c r="G43" i="34"/>
  <c r="G42" i="34" s="1"/>
  <c r="G17" i="34"/>
  <c r="G14" i="34"/>
  <c r="I14" i="34" l="1"/>
  <c r="H1087" i="3"/>
  <c r="G1019" i="4"/>
  <c r="I1019" i="4" s="1"/>
  <c r="I1020" i="4"/>
  <c r="I17" i="34"/>
  <c r="I27" i="34"/>
  <c r="I43" i="34"/>
  <c r="H1205" i="3"/>
  <c r="H1085" i="3"/>
  <c r="G52" i="34"/>
  <c r="G28" i="34"/>
  <c r="G23" i="34"/>
  <c r="G704" i="4"/>
  <c r="G44" i="34"/>
  <c r="G16" i="34"/>
  <c r="G19" i="34"/>
  <c r="G13" i="34"/>
  <c r="G12" i="34" s="1"/>
  <c r="G11" i="34" s="1"/>
  <c r="F9" i="2"/>
  <c r="E9" i="2"/>
  <c r="I23" i="34" l="1"/>
  <c r="I24" i="34"/>
  <c r="I16" i="34"/>
  <c r="I19" i="34"/>
  <c r="G703" i="4"/>
  <c r="I704" i="4"/>
  <c r="I44" i="34"/>
  <c r="I28" i="34"/>
  <c r="I26" i="34"/>
  <c r="I13" i="34"/>
  <c r="I42" i="34"/>
  <c r="E50" i="2"/>
  <c r="F50" i="2" s="1"/>
  <c r="H1178" i="3"/>
  <c r="I25" i="34"/>
  <c r="G702" i="4" l="1"/>
  <c r="I703" i="4"/>
  <c r="I22" i="34"/>
  <c r="I11" i="34"/>
  <c r="I12" i="34"/>
  <c r="I51" i="34"/>
  <c r="G701" i="4" l="1"/>
  <c r="I701" i="4" s="1"/>
  <c r="I702" i="4"/>
  <c r="I21" i="34"/>
  <c r="I52" i="34"/>
  <c r="J6" i="25"/>
  <c r="H6" i="25" s="1"/>
  <c r="I50" i="34" l="1"/>
  <c r="I20" i="34"/>
  <c r="G99" i="34"/>
  <c r="G100" i="34" s="1"/>
  <c r="G107" i="34"/>
  <c r="G108" i="34" s="1"/>
  <c r="G113" i="34"/>
  <c r="G112" i="34" s="1"/>
  <c r="G111" i="34" s="1"/>
  <c r="G110" i="34" s="1"/>
  <c r="G109" i="34" s="1"/>
  <c r="I49" i="34" l="1"/>
  <c r="I113" i="34"/>
  <c r="I100" i="34"/>
  <c r="I99" i="34"/>
  <c r="I107" i="34"/>
  <c r="G106" i="34"/>
  <c r="G105" i="34" s="1"/>
  <c r="G104" i="34" s="1"/>
  <c r="G103" i="34" s="1"/>
  <c r="G102" i="34" s="1"/>
  <c r="G101" i="34" s="1"/>
  <c r="G114" i="34"/>
  <c r="I114" i="34" s="1"/>
  <c r="I108" i="34"/>
  <c r="G98" i="34"/>
  <c r="G97" i="34" s="1"/>
  <c r="G96" i="34" s="1"/>
  <c r="G95" i="34" s="1"/>
  <c r="G94" i="34" s="1"/>
  <c r="G93" i="34" s="1"/>
  <c r="D10" i="7"/>
  <c r="I48" i="34" l="1"/>
  <c r="I112" i="34"/>
  <c r="I98" i="34"/>
  <c r="I106" i="34"/>
  <c r="C97" i="1"/>
  <c r="D97" i="1"/>
  <c r="I47" i="34" l="1"/>
  <c r="I111" i="34"/>
  <c r="I97" i="34"/>
  <c r="I105" i="34"/>
  <c r="E97" i="1"/>
  <c r="D156" i="1"/>
  <c r="C156" i="1"/>
  <c r="C155" i="1" s="1"/>
  <c r="D150" i="1"/>
  <c r="D145" i="1" s="1"/>
  <c r="C150" i="1"/>
  <c r="C148" i="1"/>
  <c r="D143" i="1"/>
  <c r="C143" i="1"/>
  <c r="D141" i="1"/>
  <c r="C141" i="1"/>
  <c r="D134" i="1"/>
  <c r="D132" i="1" s="1"/>
  <c r="C134" i="1"/>
  <c r="C132" i="1" s="1"/>
  <c r="C114" i="1"/>
  <c r="D112" i="1"/>
  <c r="C112" i="1"/>
  <c r="D106" i="1"/>
  <c r="C106" i="1"/>
  <c r="D104" i="1"/>
  <c r="C104" i="1"/>
  <c r="D102" i="1"/>
  <c r="C102" i="1"/>
  <c r="D95" i="1"/>
  <c r="C95" i="1"/>
  <c r="C94" i="1" s="1"/>
  <c r="D90" i="1"/>
  <c r="C90" i="1"/>
  <c r="C89" i="1" s="1"/>
  <c r="C79" i="1"/>
  <c r="E79" i="1" s="1"/>
  <c r="D77" i="1"/>
  <c r="C77" i="1"/>
  <c r="D75" i="1"/>
  <c r="C75" i="1"/>
  <c r="C73" i="1"/>
  <c r="E73" i="1" s="1"/>
  <c r="D69" i="1"/>
  <c r="C69" i="1"/>
  <c r="D67" i="1"/>
  <c r="C67" i="1"/>
  <c r="D64" i="1"/>
  <c r="C64" i="1"/>
  <c r="C61" i="1" s="1"/>
  <c r="D62" i="1"/>
  <c r="C62" i="1"/>
  <c r="D58" i="1"/>
  <c r="C58" i="1"/>
  <c r="C55" i="1" s="1"/>
  <c r="C54" i="1" s="1"/>
  <c r="D52" i="1"/>
  <c r="C52" i="1"/>
  <c r="D50" i="1"/>
  <c r="C50" i="1"/>
  <c r="D48" i="1"/>
  <c r="C48" i="1"/>
  <c r="D44" i="1"/>
  <c r="C44" i="1"/>
  <c r="D42" i="1"/>
  <c r="C42" i="1"/>
  <c r="D39" i="1"/>
  <c r="C39" i="1"/>
  <c r="D37" i="1"/>
  <c r="C37" i="1"/>
  <c r="D32" i="1"/>
  <c r="C32" i="1"/>
  <c r="D30" i="1"/>
  <c r="C30" i="1"/>
  <c r="D28" i="1"/>
  <c r="C28" i="1"/>
  <c r="D26" i="1"/>
  <c r="C26" i="1"/>
  <c r="D20" i="1"/>
  <c r="C20" i="1"/>
  <c r="C19" i="1" s="1"/>
  <c r="C10" i="1"/>
  <c r="E148" i="1" l="1"/>
  <c r="C145" i="1"/>
  <c r="I45" i="34"/>
  <c r="I46" i="34"/>
  <c r="I109" i="34"/>
  <c r="I110" i="34"/>
  <c r="I96" i="34"/>
  <c r="I104" i="34"/>
  <c r="D47" i="1"/>
  <c r="D46" i="1" s="1"/>
  <c r="D66" i="1"/>
  <c r="D36" i="1"/>
  <c r="D34" i="1" s="1"/>
  <c r="D72" i="1"/>
  <c r="D71" i="1" s="1"/>
  <c r="E102" i="1"/>
  <c r="E106" i="1"/>
  <c r="E69" i="1"/>
  <c r="E143" i="1"/>
  <c r="E75" i="1"/>
  <c r="E104" i="1"/>
  <c r="E44" i="1"/>
  <c r="E39" i="1"/>
  <c r="E50" i="1"/>
  <c r="E32" i="1"/>
  <c r="E95" i="1"/>
  <c r="D94" i="1"/>
  <c r="E28" i="1"/>
  <c r="E26" i="1"/>
  <c r="E37" i="1"/>
  <c r="E42" i="1"/>
  <c r="E48" i="1"/>
  <c r="E52" i="1"/>
  <c r="E62" i="1"/>
  <c r="E67" i="1"/>
  <c r="E141" i="1"/>
  <c r="D165" i="1"/>
  <c r="E165" i="1" s="1"/>
  <c r="E167" i="1"/>
  <c r="E77" i="1"/>
  <c r="E112" i="1"/>
  <c r="D155" i="1"/>
  <c r="E155" i="1" s="1"/>
  <c r="E156" i="1"/>
  <c r="E150" i="1"/>
  <c r="E132" i="1"/>
  <c r="E134" i="1"/>
  <c r="D89" i="1"/>
  <c r="D61" i="1"/>
  <c r="E61" i="1" s="1"/>
  <c r="E64" i="1"/>
  <c r="D55" i="1"/>
  <c r="E55" i="1" s="1"/>
  <c r="E58" i="1"/>
  <c r="D19" i="1"/>
  <c r="E19" i="1" s="1"/>
  <c r="E20" i="1"/>
  <c r="D10" i="1"/>
  <c r="E11" i="1"/>
  <c r="D114" i="1"/>
  <c r="E114" i="1" s="1"/>
  <c r="E115" i="1"/>
  <c r="E145" i="1"/>
  <c r="C101" i="1"/>
  <c r="C47" i="1"/>
  <c r="C46" i="1" s="1"/>
  <c r="C41" i="1"/>
  <c r="C131" i="1"/>
  <c r="C130" i="1" s="1"/>
  <c r="D25" i="1"/>
  <c r="C66" i="1"/>
  <c r="C36" i="1"/>
  <c r="C34" i="1" s="1"/>
  <c r="D41" i="1"/>
  <c r="C72" i="1"/>
  <c r="C71" i="1" s="1"/>
  <c r="C25" i="1"/>
  <c r="C24" i="1" s="1"/>
  <c r="F57" i="2"/>
  <c r="E57" i="2"/>
  <c r="E18" i="2"/>
  <c r="G373" i="34"/>
  <c r="G374" i="34" s="1"/>
  <c r="G369" i="34"/>
  <c r="G364" i="34"/>
  <c r="G365" i="34" s="1"/>
  <c r="G359" i="34"/>
  <c r="G360" i="34" s="1"/>
  <c r="G351" i="34"/>
  <c r="G352" i="34" s="1"/>
  <c r="G346" i="34"/>
  <c r="G347" i="34" s="1"/>
  <c r="G341" i="34"/>
  <c r="G342" i="34" s="1"/>
  <c r="G326" i="34"/>
  <c r="G327" i="34" s="1"/>
  <c r="G315" i="34"/>
  <c r="G316" i="34" s="1"/>
  <c r="G312" i="34"/>
  <c r="G313" i="34" s="1"/>
  <c r="G308" i="34"/>
  <c r="G301" i="34"/>
  <c r="G302" i="34" s="1"/>
  <c r="G298" i="34"/>
  <c r="G299" i="34" s="1"/>
  <c r="G295" i="34"/>
  <c r="G296" i="34" s="1"/>
  <c r="G280" i="34"/>
  <c r="G281" i="34" s="1"/>
  <c r="G259" i="34"/>
  <c r="G260" i="34" s="1"/>
  <c r="G273" i="34"/>
  <c r="G274" i="34" s="1"/>
  <c r="G266" i="34"/>
  <c r="G267" i="34" s="1"/>
  <c r="G246" i="34"/>
  <c r="G247" i="34" s="1"/>
  <c r="G241" i="34"/>
  <c r="G242" i="34" s="1"/>
  <c r="G234" i="34"/>
  <c r="G235" i="34" s="1"/>
  <c r="G225" i="34"/>
  <c r="G226" i="34" s="1"/>
  <c r="G221" i="34"/>
  <c r="G222" i="34" s="1"/>
  <c r="G212" i="34"/>
  <c r="G213" i="34" s="1"/>
  <c r="G208" i="34"/>
  <c r="G209" i="34" s="1"/>
  <c r="G201" i="34"/>
  <c r="G202" i="34" s="1"/>
  <c r="G194" i="34"/>
  <c r="G195" i="34" s="1"/>
  <c r="G185" i="34"/>
  <c r="G186" i="34" s="1"/>
  <c r="G181" i="34"/>
  <c r="G182" i="34" s="1"/>
  <c r="G177" i="34"/>
  <c r="G178" i="34" s="1"/>
  <c r="G173" i="34"/>
  <c r="G174" i="34" s="1"/>
  <c r="G167" i="34"/>
  <c r="G168" i="34" s="1"/>
  <c r="G163" i="34"/>
  <c r="G164" i="34" s="1"/>
  <c r="G158" i="34"/>
  <c r="G159" i="34" s="1"/>
  <c r="G160" i="34" s="1"/>
  <c r="G143" i="34"/>
  <c r="G144" i="34" s="1"/>
  <c r="G138" i="34"/>
  <c r="G139" i="34" s="1"/>
  <c r="G131" i="34"/>
  <c r="G132" i="34" s="1"/>
  <c r="G126" i="34"/>
  <c r="G127" i="34" s="1"/>
  <c r="G121" i="34"/>
  <c r="G122" i="34" s="1"/>
  <c r="G91" i="34"/>
  <c r="G92" i="34" s="1"/>
  <c r="G84" i="34"/>
  <c r="G85" i="34" s="1"/>
  <c r="G81" i="34"/>
  <c r="G82" i="34" s="1"/>
  <c r="G64" i="34"/>
  <c r="G65" i="34" s="1"/>
  <c r="I15" i="5"/>
  <c r="G1075" i="5"/>
  <c r="G1074" i="5" s="1"/>
  <c r="G1073" i="5" s="1"/>
  <c r="G1072" i="5" s="1"/>
  <c r="G1071" i="5" s="1"/>
  <c r="G1070" i="5" s="1"/>
  <c r="G1069" i="5" s="1"/>
  <c r="G1091" i="5"/>
  <c r="G1092" i="5" s="1"/>
  <c r="G1083" i="5"/>
  <c r="G1084" i="5" s="1"/>
  <c r="G1061" i="5"/>
  <c r="G1062" i="5" s="1"/>
  <c r="G1053" i="5"/>
  <c r="G1054" i="5" s="1"/>
  <c r="G1042" i="5"/>
  <c r="G1041" i="5" s="1"/>
  <c r="G1039" i="5"/>
  <c r="G1038" i="5" s="1"/>
  <c r="G1036" i="5"/>
  <c r="G1033" i="5"/>
  <c r="G998" i="5"/>
  <c r="G1002" i="5"/>
  <c r="G985" i="5"/>
  <c r="G986" i="5" s="1"/>
  <c r="G978" i="5"/>
  <c r="G977" i="5" s="1"/>
  <c r="G976" i="5" s="1"/>
  <c r="G975" i="5" s="1"/>
  <c r="G974" i="5" s="1"/>
  <c r="G951" i="5"/>
  <c r="G952" i="5" s="1"/>
  <c r="G967" i="5"/>
  <c r="G968" i="5" s="1"/>
  <c r="G961" i="5"/>
  <c r="G960" i="5" s="1"/>
  <c r="G959" i="5" s="1"/>
  <c r="G957" i="5"/>
  <c r="G958" i="5" s="1"/>
  <c r="G947" i="5"/>
  <c r="G946" i="5" s="1"/>
  <c r="G945" i="5" s="1"/>
  <c r="G942" i="5"/>
  <c r="G943" i="5" s="1"/>
  <c r="G937" i="5"/>
  <c r="G936" i="5" s="1"/>
  <c r="G935" i="5" s="1"/>
  <c r="G934" i="5" s="1"/>
  <c r="G930" i="5"/>
  <c r="G929" i="5" s="1"/>
  <c r="G928" i="5" s="1"/>
  <c r="G926" i="5"/>
  <c r="G927" i="5" s="1"/>
  <c r="G918" i="5"/>
  <c r="G919" i="5" s="1"/>
  <c r="G914" i="5"/>
  <c r="G910" i="5"/>
  <c r="G911" i="5" s="1"/>
  <c r="G906" i="5"/>
  <c r="G905" i="5" s="1"/>
  <c r="G904" i="5" s="1"/>
  <c r="G898" i="5"/>
  <c r="G899" i="5" s="1"/>
  <c r="G894" i="5"/>
  <c r="G893" i="5" s="1"/>
  <c r="G892" i="5" s="1"/>
  <c r="G890" i="5"/>
  <c r="G889" i="5" s="1"/>
  <c r="G882" i="5"/>
  <c r="G881" i="5" s="1"/>
  <c r="G880" i="5" s="1"/>
  <c r="G879" i="5" s="1"/>
  <c r="G878" i="5" s="1"/>
  <c r="G877" i="5" s="1"/>
  <c r="G875" i="5"/>
  <c r="G874" i="5" s="1"/>
  <c r="G873" i="5" s="1"/>
  <c r="G872" i="5" s="1"/>
  <c r="G871" i="5" s="1"/>
  <c r="G870" i="5" s="1"/>
  <c r="G868" i="5"/>
  <c r="G869" i="5" s="1"/>
  <c r="G861" i="5"/>
  <c r="G862" i="5" s="1"/>
  <c r="G854" i="5"/>
  <c r="G847" i="5"/>
  <c r="G848" i="5" s="1"/>
  <c r="G840" i="5"/>
  <c r="G841" i="5" s="1"/>
  <c r="G833" i="5"/>
  <c r="G834" i="5" s="1"/>
  <c r="G825" i="5"/>
  <c r="G826" i="5" s="1"/>
  <c r="G820" i="5"/>
  <c r="G821" i="5" s="1"/>
  <c r="G807" i="5"/>
  <c r="G812" i="5"/>
  <c r="G813" i="5" s="1"/>
  <c r="I937" i="5" l="1"/>
  <c r="I947" i="5"/>
  <c r="I1036" i="5"/>
  <c r="I1042" i="5"/>
  <c r="I1061" i="5"/>
  <c r="I273" i="34"/>
  <c r="I259" i="34"/>
  <c r="I280" i="34"/>
  <c r="I295" i="34"/>
  <c r="I298" i="34"/>
  <c r="I301" i="34"/>
  <c r="I312" i="34"/>
  <c r="I315" i="34"/>
  <c r="I326" i="34"/>
  <c r="I341" i="34"/>
  <c r="I346" i="34"/>
  <c r="I351" i="34"/>
  <c r="I359" i="34"/>
  <c r="I364" i="34"/>
  <c r="I373" i="34"/>
  <c r="I812" i="5"/>
  <c r="I826" i="5"/>
  <c r="I825" i="5"/>
  <c r="I841" i="5"/>
  <c r="I840" i="5"/>
  <c r="I854" i="5"/>
  <c r="I869" i="5"/>
  <c r="I868" i="5"/>
  <c r="I894" i="5"/>
  <c r="I914" i="5"/>
  <c r="I927" i="5"/>
  <c r="I926" i="5"/>
  <c r="I957" i="5"/>
  <c r="I967" i="5"/>
  <c r="I1002" i="5"/>
  <c r="I1083" i="5"/>
  <c r="I222" i="34"/>
  <c r="I221" i="34"/>
  <c r="I807" i="5"/>
  <c r="I820" i="5"/>
  <c r="I848" i="5"/>
  <c r="I847" i="5"/>
  <c r="I862" i="5"/>
  <c r="I861" i="5"/>
  <c r="I890" i="5"/>
  <c r="I898" i="5"/>
  <c r="I910" i="5"/>
  <c r="I918" i="5"/>
  <c r="I930" i="5"/>
  <c r="I942" i="5"/>
  <c r="I998" i="5"/>
  <c r="I1033" i="5"/>
  <c r="I1039" i="5"/>
  <c r="I1075" i="5"/>
  <c r="I65" i="34"/>
  <c r="I64" i="34"/>
  <c r="I164" i="34"/>
  <c r="I163" i="34"/>
  <c r="I174" i="34"/>
  <c r="I173" i="34"/>
  <c r="I182" i="34"/>
  <c r="I181" i="34"/>
  <c r="I195" i="34"/>
  <c r="I194" i="34"/>
  <c r="C9" i="1"/>
  <c r="E94" i="1"/>
  <c r="I882" i="5"/>
  <c r="I875" i="5"/>
  <c r="I834" i="5"/>
  <c r="I833" i="5"/>
  <c r="I1092" i="5"/>
  <c r="I1091" i="5"/>
  <c r="I202" i="34"/>
  <c r="I201" i="34"/>
  <c r="I235" i="34"/>
  <c r="I234" i="34"/>
  <c r="I132" i="34"/>
  <c r="I131" i="34"/>
  <c r="I247" i="34"/>
  <c r="I246" i="34"/>
  <c r="I226" i="34"/>
  <c r="I225" i="34"/>
  <c r="I186" i="34"/>
  <c r="I185" i="34"/>
  <c r="I178" i="34"/>
  <c r="I177" i="34"/>
  <c r="I144" i="34"/>
  <c r="I143" i="34"/>
  <c r="I127" i="34"/>
  <c r="I126" i="34"/>
  <c r="I267" i="34"/>
  <c r="I266" i="34"/>
  <c r="I242" i="34"/>
  <c r="I241" i="34"/>
  <c r="I213" i="34"/>
  <c r="I212" i="34"/>
  <c r="I209" i="34"/>
  <c r="I208" i="34"/>
  <c r="I168" i="34"/>
  <c r="I167" i="34"/>
  <c r="I158" i="34"/>
  <c r="I139" i="34"/>
  <c r="I138" i="34"/>
  <c r="I122" i="34"/>
  <c r="I121" i="34"/>
  <c r="I308" i="34"/>
  <c r="I906" i="5"/>
  <c r="I1054" i="5"/>
  <c r="I1053" i="5"/>
  <c r="I952" i="5"/>
  <c r="I951" i="5"/>
  <c r="I978" i="5"/>
  <c r="I961" i="5"/>
  <c r="I369" i="34"/>
  <c r="I986" i="5"/>
  <c r="I985" i="5"/>
  <c r="I95" i="34"/>
  <c r="I103" i="34"/>
  <c r="I92" i="34"/>
  <c r="I91" i="34"/>
  <c r="I85" i="34"/>
  <c r="I84" i="34"/>
  <c r="I82" i="34"/>
  <c r="I81" i="34"/>
  <c r="E71" i="1"/>
  <c r="E10" i="1"/>
  <c r="E41" i="1"/>
  <c r="D54" i="1"/>
  <c r="E54" i="1" s="1"/>
  <c r="E66" i="1"/>
  <c r="D101" i="1"/>
  <c r="E101" i="1" s="1"/>
  <c r="D131" i="1"/>
  <c r="D130" i="1" s="1"/>
  <c r="E130" i="1" s="1"/>
  <c r="E72" i="1"/>
  <c r="E46" i="1"/>
  <c r="E47" i="1"/>
  <c r="E34" i="1"/>
  <c r="E36" i="1"/>
  <c r="D24" i="1"/>
  <c r="E24" i="1" s="1"/>
  <c r="E25" i="1"/>
  <c r="I821" i="5"/>
  <c r="C93" i="1"/>
  <c r="G876" i="5"/>
  <c r="G883" i="5"/>
  <c r="G832" i="5"/>
  <c r="G831" i="5" s="1"/>
  <c r="G830" i="5" s="1"/>
  <c r="G829" i="5" s="1"/>
  <c r="G828" i="5" s="1"/>
  <c r="G853" i="5"/>
  <c r="G852" i="5" s="1"/>
  <c r="G851" i="5" s="1"/>
  <c r="G850" i="5" s="1"/>
  <c r="G849" i="5" s="1"/>
  <c r="G855" i="5"/>
  <c r="G1001" i="5"/>
  <c r="G1000" i="5" s="1"/>
  <c r="G1003" i="5"/>
  <c r="I16" i="5"/>
  <c r="I14" i="5"/>
  <c r="I13" i="5" s="1"/>
  <c r="I12" i="5" s="1"/>
  <c r="I11" i="5" s="1"/>
  <c r="I10" i="5" s="1"/>
  <c r="G913" i="5"/>
  <c r="G912" i="5" s="1"/>
  <c r="G915" i="5"/>
  <c r="G1034" i="5"/>
  <c r="G1032" i="5"/>
  <c r="G1035" i="5"/>
  <c r="G1037" i="5"/>
  <c r="G997" i="5"/>
  <c r="G996" i="5" s="1"/>
  <c r="G999" i="5"/>
  <c r="I1034" i="5"/>
  <c r="I1038" i="5"/>
  <c r="I943" i="5"/>
  <c r="I999" i="5"/>
  <c r="I968" i="5"/>
  <c r="I813" i="5"/>
  <c r="I889" i="5"/>
  <c r="I899" i="5"/>
  <c r="I911" i="5"/>
  <c r="I919" i="5"/>
  <c r="I958" i="5"/>
  <c r="I1037" i="5"/>
  <c r="I1035" i="5"/>
  <c r="I1041" i="5"/>
  <c r="I1062" i="5"/>
  <c r="I1084" i="5"/>
  <c r="G1076" i="5"/>
  <c r="I1076" i="5" s="1"/>
  <c r="G176" i="34"/>
  <c r="G175" i="34" s="1"/>
  <c r="G265" i="34"/>
  <c r="G264" i="34" s="1"/>
  <c r="G263" i="34" s="1"/>
  <c r="G262" i="34" s="1"/>
  <c r="G261" i="34" s="1"/>
  <c r="G272" i="34"/>
  <c r="G271" i="34" s="1"/>
  <c r="G270" i="34" s="1"/>
  <c r="G269" i="34" s="1"/>
  <c r="G268" i="34" s="1"/>
  <c r="G258" i="34"/>
  <c r="G257" i="34" s="1"/>
  <c r="G256" i="34" s="1"/>
  <c r="G279" i="34"/>
  <c r="G278" i="34" s="1"/>
  <c r="G277" i="34" s="1"/>
  <c r="G276" i="34" s="1"/>
  <c r="G275" i="34" s="1"/>
  <c r="G300" i="34"/>
  <c r="G80" i="34"/>
  <c r="G294" i="34"/>
  <c r="G311" i="34"/>
  <c r="G310" i="34" s="1"/>
  <c r="G184" i="34"/>
  <c r="G183" i="34" s="1"/>
  <c r="G200" i="34"/>
  <c r="G199" i="34" s="1"/>
  <c r="G198" i="34" s="1"/>
  <c r="G197" i="34" s="1"/>
  <c r="G196" i="34" s="1"/>
  <c r="G325" i="34"/>
  <c r="G324" i="34" s="1"/>
  <c r="G323" i="34" s="1"/>
  <c r="G322" i="34" s="1"/>
  <c r="G321" i="34" s="1"/>
  <c r="G314" i="34"/>
  <c r="G162" i="34"/>
  <c r="G161" i="34" s="1"/>
  <c r="G220" i="34"/>
  <c r="G219" i="34" s="1"/>
  <c r="G297" i="34"/>
  <c r="I297" i="34" s="1"/>
  <c r="G340" i="34"/>
  <c r="G339" i="34" s="1"/>
  <c r="G338" i="34" s="1"/>
  <c r="G345" i="34"/>
  <c r="G344" i="34" s="1"/>
  <c r="G343" i="34" s="1"/>
  <c r="G350" i="34"/>
  <c r="G349" i="34" s="1"/>
  <c r="G348" i="34" s="1"/>
  <c r="G358" i="34"/>
  <c r="G357" i="34" s="1"/>
  <c r="G356" i="34" s="1"/>
  <c r="G363" i="34"/>
  <c r="G362" i="34" s="1"/>
  <c r="G361" i="34" s="1"/>
  <c r="I281" i="34"/>
  <c r="I296" i="34"/>
  <c r="I302" i="34"/>
  <c r="I313" i="34"/>
  <c r="I342" i="34"/>
  <c r="I347" i="34"/>
  <c r="I352" i="34"/>
  <c r="G120" i="34"/>
  <c r="G119" i="34" s="1"/>
  <c r="G118" i="34" s="1"/>
  <c r="G125" i="34"/>
  <c r="G124" i="34" s="1"/>
  <c r="G123" i="34" s="1"/>
  <c r="G130" i="34"/>
  <c r="G129" i="34" s="1"/>
  <c r="G128" i="34" s="1"/>
  <c r="G137" i="34"/>
  <c r="G136" i="34" s="1"/>
  <c r="G135" i="34" s="1"/>
  <c r="G142" i="34"/>
  <c r="G141" i="34" s="1"/>
  <c r="G157" i="34"/>
  <c r="I157" i="34" s="1"/>
  <c r="G166" i="34"/>
  <c r="G165" i="34" s="1"/>
  <c r="G172" i="34"/>
  <c r="G171" i="34" s="1"/>
  <c r="G180" i="34"/>
  <c r="G179" i="34" s="1"/>
  <c r="G224" i="34"/>
  <c r="G223" i="34" s="1"/>
  <c r="G233" i="34"/>
  <c r="G232" i="34" s="1"/>
  <c r="G227" i="34" s="1"/>
  <c r="G240" i="34"/>
  <c r="G239" i="34" s="1"/>
  <c r="G238" i="34" s="1"/>
  <c r="G245" i="34"/>
  <c r="G244" i="34" s="1"/>
  <c r="G243" i="34" s="1"/>
  <c r="I274" i="34"/>
  <c r="I260" i="34"/>
  <c r="I299" i="34"/>
  <c r="G309" i="34"/>
  <c r="G307" i="34"/>
  <c r="G306" i="34" s="1"/>
  <c r="G305" i="34" s="1"/>
  <c r="I316" i="34"/>
  <c r="I314" i="34"/>
  <c r="I327" i="34"/>
  <c r="I360" i="34"/>
  <c r="I365" i="34"/>
  <c r="G370" i="34"/>
  <c r="G368" i="34"/>
  <c r="G367" i="34" s="1"/>
  <c r="I374" i="34"/>
  <c r="G90" i="34"/>
  <c r="G89" i="34" s="1"/>
  <c r="G88" i="34" s="1"/>
  <c r="G87" i="34" s="1"/>
  <c r="G86" i="34" s="1"/>
  <c r="G193" i="34"/>
  <c r="G192" i="34" s="1"/>
  <c r="G191" i="34" s="1"/>
  <c r="G207" i="34"/>
  <c r="G206" i="34" s="1"/>
  <c r="G211" i="34"/>
  <c r="G210" i="34" s="1"/>
  <c r="G63" i="34"/>
  <c r="G62" i="34" s="1"/>
  <c r="G71" i="34"/>
  <c r="G70" i="34" s="1"/>
  <c r="G57" i="34" s="1"/>
  <c r="I80" i="34"/>
  <c r="G83" i="34"/>
  <c r="G372" i="34"/>
  <c r="G371" i="34" s="1"/>
  <c r="G1090" i="5"/>
  <c r="G1089" i="5" s="1"/>
  <c r="G1088" i="5" s="1"/>
  <c r="G1087" i="5" s="1"/>
  <c r="G1086" i="5" s="1"/>
  <c r="G1085" i="5" s="1"/>
  <c r="G1082" i="5"/>
  <c r="G1081" i="5" s="1"/>
  <c r="G1080" i="5" s="1"/>
  <c r="G1079" i="5" s="1"/>
  <c r="G1078" i="5" s="1"/>
  <c r="G1077" i="5" s="1"/>
  <c r="G1060" i="5"/>
  <c r="G1059" i="5" s="1"/>
  <c r="G1058" i="5" s="1"/>
  <c r="G1057" i="5" s="1"/>
  <c r="G1052" i="5"/>
  <c r="G966" i="5"/>
  <c r="G965" i="5" s="1"/>
  <c r="G964" i="5" s="1"/>
  <c r="G963" i="5" s="1"/>
  <c r="G1043" i="5"/>
  <c r="G1040" i="5"/>
  <c r="G956" i="5"/>
  <c r="G955" i="5" s="1"/>
  <c r="G954" i="5" s="1"/>
  <c r="G953" i="5" s="1"/>
  <c r="G979" i="5"/>
  <c r="G931" i="5"/>
  <c r="G950" i="5"/>
  <c r="G949" i="5" s="1"/>
  <c r="G944" i="5" s="1"/>
  <c r="G962" i="5"/>
  <c r="G984" i="5"/>
  <c r="G983" i="5" s="1"/>
  <c r="G982" i="5" s="1"/>
  <c r="G981" i="5" s="1"/>
  <c r="G980" i="5" s="1"/>
  <c r="G948" i="5"/>
  <c r="G925" i="5"/>
  <c r="G924" i="5" s="1"/>
  <c r="G923" i="5" s="1"/>
  <c r="G922" i="5" s="1"/>
  <c r="G921" i="5" s="1"/>
  <c r="G938" i="5"/>
  <c r="G941" i="5"/>
  <c r="G940" i="5" s="1"/>
  <c r="G939" i="5" s="1"/>
  <c r="G895" i="5"/>
  <c r="I895" i="5" s="1"/>
  <c r="G907" i="5"/>
  <c r="G897" i="5"/>
  <c r="G896" i="5" s="1"/>
  <c r="G888" i="5" s="1"/>
  <c r="G891" i="5"/>
  <c r="G909" i="5"/>
  <c r="G908" i="5" s="1"/>
  <c r="G917" i="5"/>
  <c r="G916" i="5" s="1"/>
  <c r="G839" i="5"/>
  <c r="G838" i="5" s="1"/>
  <c r="G837" i="5" s="1"/>
  <c r="G836" i="5" s="1"/>
  <c r="G835" i="5" s="1"/>
  <c r="G846" i="5"/>
  <c r="G845" i="5" s="1"/>
  <c r="G844" i="5" s="1"/>
  <c r="G843" i="5" s="1"/>
  <c r="G842" i="5" s="1"/>
  <c r="G860" i="5"/>
  <c r="G859" i="5" s="1"/>
  <c r="G858" i="5" s="1"/>
  <c r="G857" i="5" s="1"/>
  <c r="G856" i="5" s="1"/>
  <c r="G867" i="5"/>
  <c r="G866" i="5" s="1"/>
  <c r="G865" i="5" s="1"/>
  <c r="G864" i="5" s="1"/>
  <c r="G863" i="5" s="1"/>
  <c r="G819" i="5"/>
  <c r="G818" i="5" s="1"/>
  <c r="G817" i="5" s="1"/>
  <c r="G816" i="5" s="1"/>
  <c r="G815" i="5" s="1"/>
  <c r="G824" i="5"/>
  <c r="G823" i="5" s="1"/>
  <c r="G822" i="5" s="1"/>
  <c r="G811" i="5"/>
  <c r="G810" i="5" s="1"/>
  <c r="G809" i="5" s="1"/>
  <c r="I925" i="5" l="1"/>
  <c r="I161" i="34"/>
  <c r="I162" i="34"/>
  <c r="I1043" i="5"/>
  <c r="I931" i="5"/>
  <c r="I948" i="5"/>
  <c r="I179" i="34"/>
  <c r="I180" i="34"/>
  <c r="I193" i="34"/>
  <c r="I62" i="34"/>
  <c r="I63" i="34"/>
  <c r="I1000" i="5"/>
  <c r="I1001" i="5"/>
  <c r="I867" i="5"/>
  <c r="I860" i="5"/>
  <c r="I839" i="5"/>
  <c r="I824" i="5"/>
  <c r="D93" i="1"/>
  <c r="I219" i="34"/>
  <c r="I220" i="34"/>
  <c r="I300" i="34"/>
  <c r="I294" i="34"/>
  <c r="I916" i="5"/>
  <c r="I917" i="5"/>
  <c r="I908" i="5"/>
  <c r="I909" i="5"/>
  <c r="I996" i="5"/>
  <c r="I997" i="5"/>
  <c r="I1032" i="5"/>
  <c r="I938" i="5"/>
  <c r="I83" i="34"/>
  <c r="I171" i="34"/>
  <c r="I172" i="34"/>
  <c r="I846" i="5"/>
  <c r="I912" i="5"/>
  <c r="I913" i="5"/>
  <c r="I853" i="5"/>
  <c r="I370" i="34"/>
  <c r="I962" i="5"/>
  <c r="I979" i="5"/>
  <c r="I907" i="5"/>
  <c r="I309" i="34"/>
  <c r="I876" i="5"/>
  <c r="I883" i="5"/>
  <c r="I1003" i="5"/>
  <c r="I915" i="5"/>
  <c r="I855" i="5"/>
  <c r="I811" i="5"/>
  <c r="I881" i="5"/>
  <c r="I874" i="5"/>
  <c r="I832" i="5"/>
  <c r="I1090" i="5"/>
  <c r="I258" i="34"/>
  <c r="I200" i="34"/>
  <c r="I233" i="34"/>
  <c r="I130" i="34"/>
  <c r="I345" i="34"/>
  <c r="I279" i="34"/>
  <c r="I272" i="34"/>
  <c r="I245" i="34"/>
  <c r="I223" i="34"/>
  <c r="I224" i="34"/>
  <c r="I183" i="34"/>
  <c r="I184" i="34"/>
  <c r="I175" i="34"/>
  <c r="I176" i="34"/>
  <c r="I141" i="34"/>
  <c r="I142" i="34"/>
  <c r="I125" i="34"/>
  <c r="I340" i="34"/>
  <c r="I265" i="34"/>
  <c r="I240" i="34"/>
  <c r="I210" i="34"/>
  <c r="I211" i="34"/>
  <c r="I206" i="34"/>
  <c r="I207" i="34"/>
  <c r="I165" i="34"/>
  <c r="I166" i="34"/>
  <c r="I160" i="34"/>
  <c r="I159" i="34"/>
  <c r="I137" i="34"/>
  <c r="I120" i="34"/>
  <c r="I350" i="34"/>
  <c r="I325" i="34"/>
  <c r="I310" i="34"/>
  <c r="I311" i="34"/>
  <c r="I306" i="34"/>
  <c r="I307" i="34"/>
  <c r="I904" i="5"/>
  <c r="I905" i="5"/>
  <c r="I1060" i="5"/>
  <c r="I1052" i="5"/>
  <c r="I966" i="5"/>
  <c r="I371" i="34"/>
  <c r="I372" i="34"/>
  <c r="I949" i="5"/>
  <c r="I950" i="5"/>
  <c r="I941" i="5"/>
  <c r="I363" i="34"/>
  <c r="I936" i="5"/>
  <c r="I358" i="34"/>
  <c r="I977" i="5"/>
  <c r="I959" i="5"/>
  <c r="I960" i="5"/>
  <c r="I955" i="5"/>
  <c r="I956" i="5"/>
  <c r="I945" i="5"/>
  <c r="I946" i="5"/>
  <c r="I367" i="34"/>
  <c r="I368" i="34"/>
  <c r="I928" i="5"/>
  <c r="I929" i="5"/>
  <c r="I984" i="5"/>
  <c r="I93" i="34"/>
  <c r="I94" i="34"/>
  <c r="I101" i="34"/>
  <c r="I102" i="34"/>
  <c r="I90" i="34"/>
  <c r="I71" i="34"/>
  <c r="D9" i="1"/>
  <c r="E9" i="1" s="1"/>
  <c r="E131" i="1"/>
  <c r="D92" i="1"/>
  <c r="I1082" i="5"/>
  <c r="I1074" i="5"/>
  <c r="I1040" i="5"/>
  <c r="I891" i="5"/>
  <c r="I896" i="5"/>
  <c r="I897" i="5"/>
  <c r="I892" i="5"/>
  <c r="I893" i="5"/>
  <c r="I819" i="5"/>
  <c r="G1048" i="5"/>
  <c r="G1047" i="5" s="1"/>
  <c r="G1046" i="5" s="1"/>
  <c r="G1045" i="5" s="1"/>
  <c r="G1044" i="5" s="1"/>
  <c r="G1056" i="5"/>
  <c r="G1055" i="5" s="1"/>
  <c r="G249" i="34"/>
  <c r="G248" i="34" s="1"/>
  <c r="G170" i="34"/>
  <c r="G169" i="34" s="1"/>
  <c r="C92" i="1"/>
  <c r="C171" i="1" s="1"/>
  <c r="C17" i="7" s="1"/>
  <c r="G887" i="5"/>
  <c r="G886" i="5" s="1"/>
  <c r="G885" i="5" s="1"/>
  <c r="G884" i="5" s="1"/>
  <c r="G1031" i="5"/>
  <c r="G1030" i="5" s="1"/>
  <c r="G1029" i="5" s="1"/>
  <c r="G1028" i="5" s="1"/>
  <c r="G1027" i="5" s="1"/>
  <c r="G995" i="5"/>
  <c r="G994" i="5" s="1"/>
  <c r="G218" i="34"/>
  <c r="G304" i="34"/>
  <c r="G303" i="34" s="1"/>
  <c r="G293" i="34"/>
  <c r="G292" i="34" s="1"/>
  <c r="G291" i="34" s="1"/>
  <c r="G290" i="34" s="1"/>
  <c r="G79" i="34"/>
  <c r="G78" i="34" s="1"/>
  <c r="G77" i="34" s="1"/>
  <c r="G76" i="34" s="1"/>
  <c r="G366" i="34"/>
  <c r="G355" i="34" s="1"/>
  <c r="G354" i="34" s="1"/>
  <c r="G353" i="34" s="1"/>
  <c r="G337" i="34"/>
  <c r="G237" i="34"/>
  <c r="G236" i="34" s="1"/>
  <c r="G156" i="34"/>
  <c r="G117" i="34"/>
  <c r="G116" i="34" s="1"/>
  <c r="G933" i="5"/>
  <c r="G932" i="5" s="1"/>
  <c r="G827" i="5"/>
  <c r="G814" i="5"/>
  <c r="I994" i="5" l="1"/>
  <c r="I995" i="5"/>
  <c r="I852" i="5"/>
  <c r="I845" i="5"/>
  <c r="I859" i="5"/>
  <c r="I218" i="34"/>
  <c r="I156" i="34"/>
  <c r="I822" i="5"/>
  <c r="I823" i="5"/>
  <c r="I838" i="5"/>
  <c r="I866" i="5"/>
  <c r="I191" i="34"/>
  <c r="I192" i="34"/>
  <c r="I809" i="5"/>
  <c r="I810" i="5"/>
  <c r="I880" i="5"/>
  <c r="I873" i="5"/>
  <c r="I831" i="5"/>
  <c r="I1089" i="5"/>
  <c r="I257" i="34"/>
  <c r="I199" i="34"/>
  <c r="I227" i="34"/>
  <c r="I232" i="34"/>
  <c r="I128" i="34"/>
  <c r="I129" i="34"/>
  <c r="I343" i="34"/>
  <c r="I344" i="34"/>
  <c r="I278" i="34"/>
  <c r="I271" i="34"/>
  <c r="I243" i="34"/>
  <c r="I244" i="34"/>
  <c r="I169" i="34"/>
  <c r="I170" i="34"/>
  <c r="I123" i="34"/>
  <c r="I124" i="34"/>
  <c r="I338" i="34"/>
  <c r="I339" i="34"/>
  <c r="I264" i="34"/>
  <c r="I239" i="34"/>
  <c r="I135" i="34"/>
  <c r="I136" i="34"/>
  <c r="I119" i="34"/>
  <c r="I349" i="34"/>
  <c r="I324" i="34"/>
  <c r="I305" i="34"/>
  <c r="I293" i="34"/>
  <c r="I1059" i="5"/>
  <c r="I1048" i="5"/>
  <c r="I965" i="5"/>
  <c r="I361" i="34"/>
  <c r="I362" i="34"/>
  <c r="I939" i="5"/>
  <c r="I940" i="5"/>
  <c r="I356" i="34"/>
  <c r="I357" i="34"/>
  <c r="I934" i="5"/>
  <c r="I935" i="5"/>
  <c r="I976" i="5"/>
  <c r="I366" i="34"/>
  <c r="I944" i="5"/>
  <c r="I983" i="5"/>
  <c r="I89" i="34"/>
  <c r="I79" i="34"/>
  <c r="I57" i="34"/>
  <c r="I70" i="34"/>
  <c r="E93" i="1"/>
  <c r="D171" i="1"/>
  <c r="I1073" i="5"/>
  <c r="I1081" i="5"/>
  <c r="I1031" i="5"/>
  <c r="I924" i="5"/>
  <c r="I888" i="5"/>
  <c r="I818" i="5"/>
  <c r="G155" i="34"/>
  <c r="G154" i="34" s="1"/>
  <c r="G336" i="34"/>
  <c r="G335" i="34" s="1"/>
  <c r="I933" i="5" l="1"/>
  <c r="I865" i="5"/>
  <c r="I837" i="5"/>
  <c r="I954" i="5"/>
  <c r="I858" i="5"/>
  <c r="I844" i="5"/>
  <c r="I851" i="5"/>
  <c r="I879" i="5"/>
  <c r="I872" i="5"/>
  <c r="I830" i="5"/>
  <c r="I1088" i="5"/>
  <c r="I256" i="34"/>
  <c r="I198" i="34"/>
  <c r="I277" i="34"/>
  <c r="I270" i="34"/>
  <c r="I263" i="34"/>
  <c r="I238" i="34"/>
  <c r="I154" i="34"/>
  <c r="I155" i="34"/>
  <c r="I118" i="34"/>
  <c r="I348" i="34"/>
  <c r="I323" i="34"/>
  <c r="I303" i="34"/>
  <c r="I304" i="34"/>
  <c r="I292" i="34"/>
  <c r="I1058" i="5"/>
  <c r="I1047" i="5"/>
  <c r="I963" i="5"/>
  <c r="I964" i="5"/>
  <c r="I974" i="5"/>
  <c r="I975" i="5"/>
  <c r="I953" i="5"/>
  <c r="I355" i="34"/>
  <c r="I982" i="5"/>
  <c r="I88" i="34"/>
  <c r="I78" i="34"/>
  <c r="E92" i="1"/>
  <c r="I1080" i="5"/>
  <c r="I1072" i="5"/>
  <c r="I1030" i="5"/>
  <c r="I923" i="5"/>
  <c r="I887" i="5"/>
  <c r="I817" i="5"/>
  <c r="D17" i="7"/>
  <c r="E171" i="1"/>
  <c r="E17" i="7" s="1"/>
  <c r="G808" i="5"/>
  <c r="I808" i="5" s="1"/>
  <c r="G806" i="5"/>
  <c r="G800" i="5"/>
  <c r="G793" i="5"/>
  <c r="G786" i="5"/>
  <c r="G782" i="5"/>
  <c r="G778" i="5"/>
  <c r="G775" i="5"/>
  <c r="G771" i="5"/>
  <c r="G767" i="5"/>
  <c r="G760" i="5"/>
  <c r="G756" i="5"/>
  <c r="G717" i="5"/>
  <c r="G723" i="5"/>
  <c r="G728" i="5"/>
  <c r="G748" i="5"/>
  <c r="G743" i="5"/>
  <c r="G739" i="5"/>
  <c r="G733" i="5"/>
  <c r="G711" i="5"/>
  <c r="G610" i="5"/>
  <c r="I610" i="5" s="1"/>
  <c r="G563" i="5"/>
  <c r="G560" i="5"/>
  <c r="G557" i="5"/>
  <c r="G703" i="5"/>
  <c r="G693" i="5"/>
  <c r="G690" i="5"/>
  <c r="G683" i="5"/>
  <c r="G679" i="5"/>
  <c r="G672" i="5"/>
  <c r="G665" i="5"/>
  <c r="G662" i="5"/>
  <c r="G658" i="5"/>
  <c r="I658" i="5" s="1"/>
  <c r="G666" i="5" l="1"/>
  <c r="I666" i="5" s="1"/>
  <c r="I665" i="5"/>
  <c r="G680" i="5"/>
  <c r="I680" i="5" s="1"/>
  <c r="I679" i="5"/>
  <c r="G689" i="5"/>
  <c r="I690" i="5"/>
  <c r="G704" i="5"/>
  <c r="I704" i="5" s="1"/>
  <c r="I703" i="5"/>
  <c r="G561" i="5"/>
  <c r="I561" i="5" s="1"/>
  <c r="I560" i="5"/>
  <c r="G732" i="5"/>
  <c r="I733" i="5"/>
  <c r="G742" i="5"/>
  <c r="I743" i="5"/>
  <c r="G727" i="5"/>
  <c r="I728" i="5"/>
  <c r="G716" i="5"/>
  <c r="I717" i="5"/>
  <c r="G759" i="5"/>
  <c r="I760" i="5"/>
  <c r="G770" i="5"/>
  <c r="I771" i="5"/>
  <c r="G779" i="5"/>
  <c r="I779" i="5" s="1"/>
  <c r="I778" i="5"/>
  <c r="G785" i="5"/>
  <c r="I786" i="5"/>
  <c r="G801" i="5"/>
  <c r="I801" i="5" s="1"/>
  <c r="I800" i="5"/>
  <c r="I842" i="5"/>
  <c r="I843" i="5"/>
  <c r="I856" i="5"/>
  <c r="I857" i="5"/>
  <c r="I835" i="5"/>
  <c r="I836" i="5"/>
  <c r="I863" i="5"/>
  <c r="I864" i="5"/>
  <c r="G663" i="5"/>
  <c r="I663" i="5" s="1"/>
  <c r="I662" i="5"/>
  <c r="G671" i="5"/>
  <c r="I672" i="5"/>
  <c r="G684" i="5"/>
  <c r="I684" i="5" s="1"/>
  <c r="I683" i="5"/>
  <c r="G692" i="5"/>
  <c r="I692" i="5" s="1"/>
  <c r="I693" i="5"/>
  <c r="G558" i="5"/>
  <c r="I558" i="5" s="1"/>
  <c r="I557" i="5"/>
  <c r="G562" i="5"/>
  <c r="I562" i="5" s="1"/>
  <c r="I563" i="5"/>
  <c r="G710" i="5"/>
  <c r="G709" i="5" s="1"/>
  <c r="I711" i="5"/>
  <c r="G738" i="5"/>
  <c r="I739" i="5"/>
  <c r="G747" i="5"/>
  <c r="I748" i="5"/>
  <c r="G724" i="5"/>
  <c r="I724" i="5" s="1"/>
  <c r="I723" i="5"/>
  <c r="G757" i="5"/>
  <c r="I757" i="5" s="1"/>
  <c r="I756" i="5"/>
  <c r="G766" i="5"/>
  <c r="I767" i="5"/>
  <c r="G776" i="5"/>
  <c r="I776" i="5" s="1"/>
  <c r="I775" i="5"/>
  <c r="G783" i="5"/>
  <c r="I783" i="5" s="1"/>
  <c r="I782" i="5"/>
  <c r="G794" i="5"/>
  <c r="I794" i="5" s="1"/>
  <c r="I793" i="5"/>
  <c r="G805" i="5"/>
  <c r="I806" i="5"/>
  <c r="I849" i="5"/>
  <c r="I850" i="5"/>
  <c r="I877" i="5"/>
  <c r="I878" i="5"/>
  <c r="I870" i="5"/>
  <c r="I871" i="5"/>
  <c r="I829" i="5"/>
  <c r="I1087" i="5"/>
  <c r="I248" i="34"/>
  <c r="I249" i="34"/>
  <c r="I196" i="34"/>
  <c r="I197" i="34"/>
  <c r="I275" i="34"/>
  <c r="I276" i="34"/>
  <c r="I268" i="34"/>
  <c r="I269" i="34"/>
  <c r="I261" i="34"/>
  <c r="I262" i="34"/>
  <c r="I236" i="34"/>
  <c r="I237" i="34"/>
  <c r="I116" i="34"/>
  <c r="I117" i="34"/>
  <c r="I337" i="34"/>
  <c r="I321" i="34"/>
  <c r="I322" i="34"/>
  <c r="I290" i="34"/>
  <c r="I291" i="34"/>
  <c r="I1057" i="5"/>
  <c r="I1046" i="5"/>
  <c r="I932" i="5"/>
  <c r="I353" i="34"/>
  <c r="I354" i="34"/>
  <c r="I980" i="5"/>
  <c r="I981" i="5"/>
  <c r="I86" i="34"/>
  <c r="I87" i="34"/>
  <c r="I76" i="34"/>
  <c r="I77" i="34"/>
  <c r="I1071" i="5"/>
  <c r="I1079" i="5"/>
  <c r="I1029" i="5"/>
  <c r="I921" i="5"/>
  <c r="I922" i="5"/>
  <c r="I886" i="5"/>
  <c r="I816" i="5"/>
  <c r="G784" i="5"/>
  <c r="I784" i="5" s="1"/>
  <c r="I785" i="5"/>
  <c r="G769" i="5"/>
  <c r="I769" i="5" s="1"/>
  <c r="I770" i="5"/>
  <c r="I710" i="5"/>
  <c r="G761" i="5"/>
  <c r="I761" i="5" s="1"/>
  <c r="G777" i="5"/>
  <c r="I777" i="5" s="1"/>
  <c r="G787" i="5"/>
  <c r="I787" i="5" s="1"/>
  <c r="G799" i="5"/>
  <c r="G792" i="5"/>
  <c r="G772" i="5"/>
  <c r="I772" i="5" s="1"/>
  <c r="G768" i="5"/>
  <c r="I768" i="5" s="1"/>
  <c r="G755" i="5"/>
  <c r="G781" i="5"/>
  <c r="G774" i="5"/>
  <c r="I774" i="5" s="1"/>
  <c r="G718" i="5"/>
  <c r="I718" i="5" s="1"/>
  <c r="G740" i="5"/>
  <c r="I740" i="5" s="1"/>
  <c r="G729" i="5"/>
  <c r="I729" i="5" s="1"/>
  <c r="G722" i="5"/>
  <c r="G749" i="5"/>
  <c r="I749" i="5" s="1"/>
  <c r="G744" i="5"/>
  <c r="I744" i="5" s="1"/>
  <c r="G712" i="5"/>
  <c r="I712" i="5" s="1"/>
  <c r="G734" i="5"/>
  <c r="I734" i="5" s="1"/>
  <c r="G564" i="5"/>
  <c r="I564" i="5" s="1"/>
  <c r="G556" i="5"/>
  <c r="I556" i="5" s="1"/>
  <c r="G559" i="5"/>
  <c r="I559" i="5" s="1"/>
  <c r="G691" i="5"/>
  <c r="I691" i="5" s="1"/>
  <c r="G702" i="5"/>
  <c r="I702" i="5" s="1"/>
  <c r="G682" i="5"/>
  <c r="G678" i="5"/>
  <c r="G673" i="5"/>
  <c r="I673" i="5" s="1"/>
  <c r="G661" i="5"/>
  <c r="I661" i="5" s="1"/>
  <c r="G664" i="5"/>
  <c r="I664" i="5" s="1"/>
  <c r="G677" i="5" l="1"/>
  <c r="I678" i="5"/>
  <c r="G721" i="5"/>
  <c r="I722" i="5"/>
  <c r="G754" i="5"/>
  <c r="I754" i="5" s="1"/>
  <c r="I755" i="5"/>
  <c r="G798" i="5"/>
  <c r="I799" i="5"/>
  <c r="G804" i="5"/>
  <c r="I805" i="5"/>
  <c r="G765" i="5"/>
  <c r="I765" i="5" s="1"/>
  <c r="I766" i="5"/>
  <c r="G746" i="5"/>
  <c r="I747" i="5"/>
  <c r="G737" i="5"/>
  <c r="I738" i="5"/>
  <c r="G670" i="5"/>
  <c r="I671" i="5"/>
  <c r="G681" i="5"/>
  <c r="I681" i="5" s="1"/>
  <c r="I682" i="5"/>
  <c r="G780" i="5"/>
  <c r="I780" i="5" s="1"/>
  <c r="I781" i="5"/>
  <c r="G791" i="5"/>
  <c r="I792" i="5"/>
  <c r="G758" i="5"/>
  <c r="I758" i="5" s="1"/>
  <c r="I759" i="5"/>
  <c r="G715" i="5"/>
  <c r="I716" i="5"/>
  <c r="G726" i="5"/>
  <c r="I727" i="5"/>
  <c r="G741" i="5"/>
  <c r="I741" i="5" s="1"/>
  <c r="I742" i="5"/>
  <c r="G731" i="5"/>
  <c r="I732" i="5"/>
  <c r="G688" i="5"/>
  <c r="I689" i="5"/>
  <c r="I828" i="5"/>
  <c r="I827" i="5"/>
  <c r="I1085" i="5"/>
  <c r="I1086" i="5"/>
  <c r="I335" i="34"/>
  <c r="I336" i="34"/>
  <c r="I1055" i="5"/>
  <c r="I1056" i="5"/>
  <c r="I1044" i="5"/>
  <c r="I1045" i="5"/>
  <c r="I1077" i="5"/>
  <c r="I1078" i="5"/>
  <c r="I1069" i="5"/>
  <c r="I1070" i="5"/>
  <c r="I1027" i="5"/>
  <c r="I1028" i="5"/>
  <c r="I884" i="5"/>
  <c r="I885" i="5"/>
  <c r="I815" i="5"/>
  <c r="I814" i="5"/>
  <c r="G708" i="5"/>
  <c r="I709" i="5"/>
  <c r="G773" i="5"/>
  <c r="G555" i="5"/>
  <c r="I555" i="5" s="1"/>
  <c r="G660" i="5"/>
  <c r="I660" i="5" s="1"/>
  <c r="G659" i="5"/>
  <c r="I659" i="5" s="1"/>
  <c r="G657" i="5"/>
  <c r="G645" i="5"/>
  <c r="G639" i="5"/>
  <c r="G635" i="5"/>
  <c r="G625" i="5"/>
  <c r="G631" i="5"/>
  <c r="G618" i="5"/>
  <c r="G606" i="5"/>
  <c r="G609" i="5"/>
  <c r="G597" i="5"/>
  <c r="G594" i="5"/>
  <c r="G590" i="5"/>
  <c r="G591" i="5" l="1"/>
  <c r="I591" i="5" s="1"/>
  <c r="I590" i="5"/>
  <c r="G598" i="5"/>
  <c r="I598" i="5" s="1"/>
  <c r="I597" i="5"/>
  <c r="G605" i="5"/>
  <c r="I605" i="5" s="1"/>
  <c r="I606" i="5"/>
  <c r="G630" i="5"/>
  <c r="I631" i="5"/>
  <c r="G634" i="5"/>
  <c r="I635" i="5"/>
  <c r="G644" i="5"/>
  <c r="I645" i="5"/>
  <c r="G790" i="5"/>
  <c r="I791" i="5"/>
  <c r="G669" i="5"/>
  <c r="I670" i="5"/>
  <c r="G736" i="5"/>
  <c r="I737" i="5"/>
  <c r="G745" i="5"/>
  <c r="I745" i="5" s="1"/>
  <c r="I746" i="5"/>
  <c r="G803" i="5"/>
  <c r="I804" i="5"/>
  <c r="G595" i="5"/>
  <c r="I595" i="5" s="1"/>
  <c r="I594" i="5"/>
  <c r="G608" i="5"/>
  <c r="I608" i="5" s="1"/>
  <c r="I609" i="5"/>
  <c r="G619" i="5"/>
  <c r="I619" i="5" s="1"/>
  <c r="I618" i="5"/>
  <c r="G626" i="5"/>
  <c r="I626" i="5" s="1"/>
  <c r="I625" i="5"/>
  <c r="G640" i="5"/>
  <c r="I640" i="5" s="1"/>
  <c r="I639" i="5"/>
  <c r="G656" i="5"/>
  <c r="I656" i="5" s="1"/>
  <c r="I657" i="5"/>
  <c r="G687" i="5"/>
  <c r="I688" i="5"/>
  <c r="G730" i="5"/>
  <c r="I730" i="5" s="1"/>
  <c r="I731" i="5"/>
  <c r="G725" i="5"/>
  <c r="I725" i="5" s="1"/>
  <c r="I726" i="5"/>
  <c r="G714" i="5"/>
  <c r="I715" i="5"/>
  <c r="G797" i="5"/>
  <c r="I798" i="5"/>
  <c r="G720" i="5"/>
  <c r="I721" i="5"/>
  <c r="G676" i="5"/>
  <c r="I677" i="5"/>
  <c r="G753" i="5"/>
  <c r="I753" i="5" s="1"/>
  <c r="I773" i="5"/>
  <c r="G752" i="5"/>
  <c r="G707" i="5"/>
  <c r="I708" i="5"/>
  <c r="G554" i="5"/>
  <c r="G655" i="5"/>
  <c r="G646" i="5"/>
  <c r="I646" i="5" s="1"/>
  <c r="G636" i="5"/>
  <c r="I636" i="5" s="1"/>
  <c r="G638" i="5"/>
  <c r="G624" i="5"/>
  <c r="G632" i="5"/>
  <c r="I632" i="5" s="1"/>
  <c r="G617" i="5"/>
  <c r="G611" i="5"/>
  <c r="I611" i="5" s="1"/>
  <c r="G607" i="5"/>
  <c r="I607" i="5" s="1"/>
  <c r="G593" i="5"/>
  <c r="G589" i="5"/>
  <c r="G596" i="5"/>
  <c r="I596" i="5" s="1"/>
  <c r="G544" i="5"/>
  <c r="G541" i="5"/>
  <c r="G538" i="5"/>
  <c r="G534" i="5"/>
  <c r="G524" i="5"/>
  <c r="G521" i="5"/>
  <c r="G518" i="5"/>
  <c r="G469" i="5"/>
  <c r="G465" i="5"/>
  <c r="G496" i="5"/>
  <c r="G493" i="5"/>
  <c r="G503" i="5"/>
  <c r="G481" i="5"/>
  <c r="G510" i="5"/>
  <c r="G454" i="5"/>
  <c r="G451" i="5"/>
  <c r="I451" i="5" s="1"/>
  <c r="G441" i="5"/>
  <c r="G437" i="5"/>
  <c r="G413" i="5"/>
  <c r="G405" i="5"/>
  <c r="G398" i="5"/>
  <c r="G394" i="5"/>
  <c r="G391" i="5"/>
  <c r="G379" i="5"/>
  <c r="G386" i="5"/>
  <c r="G371" i="5"/>
  <c r="G332" i="5"/>
  <c r="G356" i="5"/>
  <c r="G349" i="5"/>
  <c r="G342" i="5"/>
  <c r="G319" i="5"/>
  <c r="I319" i="5" s="1"/>
  <c r="G343" i="5" l="1"/>
  <c r="I343" i="5" s="1"/>
  <c r="I342" i="5"/>
  <c r="G355" i="5"/>
  <c r="I356" i="5"/>
  <c r="G372" i="5"/>
  <c r="I372" i="5" s="1"/>
  <c r="I371" i="5"/>
  <c r="G380" i="5"/>
  <c r="I380" i="5" s="1"/>
  <c r="I379" i="5"/>
  <c r="G393" i="5"/>
  <c r="I393" i="5" s="1"/>
  <c r="I394" i="5"/>
  <c r="G406" i="5"/>
  <c r="I406" i="5" s="1"/>
  <c r="I405" i="5"/>
  <c r="G438" i="5"/>
  <c r="I438" i="5" s="1"/>
  <c r="I437" i="5"/>
  <c r="G509" i="5"/>
  <c r="I510" i="5"/>
  <c r="G504" i="5"/>
  <c r="I504" i="5" s="1"/>
  <c r="I503" i="5"/>
  <c r="G497" i="5"/>
  <c r="I497" i="5" s="1"/>
  <c r="I496" i="5"/>
  <c r="G468" i="5"/>
  <c r="I469" i="5"/>
  <c r="G522" i="5"/>
  <c r="I522" i="5" s="1"/>
  <c r="I521" i="5"/>
  <c r="G535" i="5"/>
  <c r="I535" i="5" s="1"/>
  <c r="I534" i="5"/>
  <c r="G540" i="5"/>
  <c r="I540" i="5" s="1"/>
  <c r="I541" i="5"/>
  <c r="G592" i="5"/>
  <c r="I592" i="5" s="1"/>
  <c r="I593" i="5"/>
  <c r="G637" i="5"/>
  <c r="I638" i="5"/>
  <c r="G553" i="5"/>
  <c r="I553" i="5" s="1"/>
  <c r="I554" i="5"/>
  <c r="G675" i="5"/>
  <c r="I676" i="5"/>
  <c r="G719" i="5"/>
  <c r="I719" i="5" s="1"/>
  <c r="I720" i="5"/>
  <c r="G796" i="5"/>
  <c r="I797" i="5"/>
  <c r="G713" i="5"/>
  <c r="I713" i="5" s="1"/>
  <c r="I714" i="5"/>
  <c r="G686" i="5"/>
  <c r="I687" i="5"/>
  <c r="G350" i="5"/>
  <c r="I350" i="5" s="1"/>
  <c r="I349" i="5"/>
  <c r="G331" i="5"/>
  <c r="I331" i="5" s="1"/>
  <c r="I332" i="5"/>
  <c r="G385" i="5"/>
  <c r="I386" i="5"/>
  <c r="G390" i="5"/>
  <c r="I390" i="5" s="1"/>
  <c r="I391" i="5"/>
  <c r="G399" i="5"/>
  <c r="I399" i="5" s="1"/>
  <c r="I398" i="5"/>
  <c r="G414" i="5"/>
  <c r="I414" i="5" s="1"/>
  <c r="I413" i="5"/>
  <c r="G442" i="5"/>
  <c r="I442" i="5" s="1"/>
  <c r="I441" i="5"/>
  <c r="G453" i="5"/>
  <c r="I454" i="5"/>
  <c r="G480" i="5"/>
  <c r="I480" i="5" s="1"/>
  <c r="I481" i="5"/>
  <c r="G494" i="5"/>
  <c r="I494" i="5" s="1"/>
  <c r="I493" i="5"/>
  <c r="G466" i="5"/>
  <c r="I466" i="5" s="1"/>
  <c r="I465" i="5"/>
  <c r="G519" i="5"/>
  <c r="I519" i="5" s="1"/>
  <c r="I518" i="5"/>
  <c r="G525" i="5"/>
  <c r="I525" i="5" s="1"/>
  <c r="I524" i="5"/>
  <c r="G539" i="5"/>
  <c r="I539" i="5" s="1"/>
  <c r="I538" i="5"/>
  <c r="G543" i="5"/>
  <c r="I543" i="5" s="1"/>
  <c r="I544" i="5"/>
  <c r="G588" i="5"/>
  <c r="I588" i="5" s="1"/>
  <c r="I589" i="5"/>
  <c r="G616" i="5"/>
  <c r="I616" i="5" s="1"/>
  <c r="I617" i="5"/>
  <c r="G623" i="5"/>
  <c r="I624" i="5"/>
  <c r="G654" i="5"/>
  <c r="I654" i="5" s="1"/>
  <c r="I655" i="5"/>
  <c r="G802" i="5"/>
  <c r="I802" i="5" s="1"/>
  <c r="I803" i="5"/>
  <c r="I736" i="5"/>
  <c r="G735" i="5"/>
  <c r="I735" i="5" s="1"/>
  <c r="G668" i="5"/>
  <c r="I669" i="5"/>
  <c r="G789" i="5"/>
  <c r="I790" i="5"/>
  <c r="G643" i="5"/>
  <c r="I644" i="5"/>
  <c r="G633" i="5"/>
  <c r="I633" i="5" s="1"/>
  <c r="I634" i="5"/>
  <c r="G629" i="5"/>
  <c r="I629" i="5" s="1"/>
  <c r="I630" i="5"/>
  <c r="G751" i="5"/>
  <c r="I752" i="5"/>
  <c r="I707" i="5"/>
  <c r="G330" i="5"/>
  <c r="G545" i="5"/>
  <c r="I545" i="5" s="1"/>
  <c r="G517" i="5"/>
  <c r="I517" i="5" s="1"/>
  <c r="G523" i="5"/>
  <c r="I523" i="5" s="1"/>
  <c r="G533" i="5"/>
  <c r="G520" i="5"/>
  <c r="I520" i="5" s="1"/>
  <c r="G542" i="5"/>
  <c r="I542" i="5" s="1"/>
  <c r="G537" i="5"/>
  <c r="G470" i="5"/>
  <c r="I470" i="5" s="1"/>
  <c r="G464" i="5"/>
  <c r="G492" i="5"/>
  <c r="I492" i="5" s="1"/>
  <c r="G495" i="5"/>
  <c r="I495" i="5" s="1"/>
  <c r="G482" i="5"/>
  <c r="I482" i="5" s="1"/>
  <c r="G511" i="5"/>
  <c r="I511" i="5" s="1"/>
  <c r="G502" i="5"/>
  <c r="G455" i="5"/>
  <c r="I455" i="5" s="1"/>
  <c r="G440" i="5"/>
  <c r="G449" i="5"/>
  <c r="G436" i="5"/>
  <c r="G404" i="5"/>
  <c r="G412" i="5"/>
  <c r="G392" i="5"/>
  <c r="I392" i="5" s="1"/>
  <c r="G395" i="5"/>
  <c r="I395" i="5" s="1"/>
  <c r="G397" i="5"/>
  <c r="G389" i="5"/>
  <c r="I389" i="5" s="1"/>
  <c r="G378" i="5"/>
  <c r="G387" i="5"/>
  <c r="I387" i="5" s="1"/>
  <c r="G370" i="5"/>
  <c r="G333" i="5"/>
  <c r="I333" i="5" s="1"/>
  <c r="G357" i="5"/>
  <c r="I357" i="5" s="1"/>
  <c r="G348" i="5"/>
  <c r="G341" i="5"/>
  <c r="G587" i="5" l="1"/>
  <c r="G706" i="5"/>
  <c r="G705" i="5" s="1"/>
  <c r="I705" i="5" s="1"/>
  <c r="G340" i="5"/>
  <c r="I341" i="5"/>
  <c r="G369" i="5"/>
  <c r="I370" i="5"/>
  <c r="G377" i="5"/>
  <c r="I378" i="5"/>
  <c r="G396" i="5"/>
  <c r="I396" i="5" s="1"/>
  <c r="I397" i="5"/>
  <c r="G403" i="5"/>
  <c r="I404" i="5"/>
  <c r="G448" i="5"/>
  <c r="I449" i="5"/>
  <c r="G463" i="5"/>
  <c r="I464" i="5"/>
  <c r="G536" i="5"/>
  <c r="I536" i="5" s="1"/>
  <c r="I537" i="5"/>
  <c r="G586" i="5"/>
  <c r="I586" i="5" s="1"/>
  <c r="I587" i="5"/>
  <c r="G347" i="5"/>
  <c r="I348" i="5"/>
  <c r="G411" i="5"/>
  <c r="I412" i="5"/>
  <c r="G435" i="5"/>
  <c r="I435" i="5" s="1"/>
  <c r="I436" i="5"/>
  <c r="G439" i="5"/>
  <c r="I439" i="5" s="1"/>
  <c r="I440" i="5"/>
  <c r="G501" i="5"/>
  <c r="I502" i="5"/>
  <c r="G532" i="5"/>
  <c r="I532" i="5" s="1"/>
  <c r="I533" i="5"/>
  <c r="G329" i="5"/>
  <c r="I329" i="5" s="1"/>
  <c r="I330" i="5"/>
  <c r="G642" i="5"/>
  <c r="I643" i="5"/>
  <c r="G788" i="5"/>
  <c r="I788" i="5" s="1"/>
  <c r="I789" i="5"/>
  <c r="G667" i="5"/>
  <c r="I667" i="5" s="1"/>
  <c r="I668" i="5"/>
  <c r="G622" i="5"/>
  <c r="I623" i="5"/>
  <c r="G452" i="5"/>
  <c r="I452" i="5" s="1"/>
  <c r="I453" i="5"/>
  <c r="G384" i="5"/>
  <c r="I385" i="5"/>
  <c r="G685" i="5"/>
  <c r="I685" i="5" s="1"/>
  <c r="I686" i="5"/>
  <c r="G795" i="5"/>
  <c r="I795" i="5" s="1"/>
  <c r="I796" i="5"/>
  <c r="G674" i="5"/>
  <c r="I674" i="5" s="1"/>
  <c r="I675" i="5"/>
  <c r="G628" i="5"/>
  <c r="I637" i="5"/>
  <c r="G467" i="5"/>
  <c r="I467" i="5" s="1"/>
  <c r="I468" i="5"/>
  <c r="G508" i="5"/>
  <c r="I509" i="5"/>
  <c r="G354" i="5"/>
  <c r="I355" i="5"/>
  <c r="G750" i="5"/>
  <c r="I750" i="5" s="1"/>
  <c r="I751" i="5"/>
  <c r="I706" i="5"/>
  <c r="G322" i="5"/>
  <c r="G516" i="5"/>
  <c r="I516" i="5" s="1"/>
  <c r="G434" i="5"/>
  <c r="G491" i="5"/>
  <c r="G388" i="5" l="1"/>
  <c r="G531" i="5"/>
  <c r="G530" i="5" s="1"/>
  <c r="I530" i="5" s="1"/>
  <c r="G382" i="5"/>
  <c r="I388" i="5"/>
  <c r="G490" i="5"/>
  <c r="I491" i="5"/>
  <c r="I434" i="5"/>
  <c r="G321" i="5"/>
  <c r="I321" i="5" s="1"/>
  <c r="I322" i="5"/>
  <c r="G353" i="5"/>
  <c r="I354" i="5"/>
  <c r="G507" i="5"/>
  <c r="I508" i="5"/>
  <c r="G627" i="5"/>
  <c r="I628" i="5"/>
  <c r="G383" i="5"/>
  <c r="I383" i="5" s="1"/>
  <c r="I384" i="5"/>
  <c r="G621" i="5"/>
  <c r="I621" i="5" s="1"/>
  <c r="I622" i="5"/>
  <c r="G641" i="5"/>
  <c r="I641" i="5" s="1"/>
  <c r="I642" i="5"/>
  <c r="G500" i="5"/>
  <c r="I501" i="5"/>
  <c r="G410" i="5"/>
  <c r="I411" i="5"/>
  <c r="G346" i="5"/>
  <c r="I347" i="5"/>
  <c r="G462" i="5"/>
  <c r="I463" i="5"/>
  <c r="G443" i="5"/>
  <c r="I443" i="5" s="1"/>
  <c r="I448" i="5"/>
  <c r="G402" i="5"/>
  <c r="I403" i="5"/>
  <c r="G376" i="5"/>
  <c r="I377" i="5"/>
  <c r="G368" i="5"/>
  <c r="I369" i="5"/>
  <c r="G339" i="5"/>
  <c r="I340" i="5"/>
  <c r="G515" i="5"/>
  <c r="G320" i="5"/>
  <c r="I320" i="5" s="1"/>
  <c r="G318" i="5"/>
  <c r="G314" i="5"/>
  <c r="I531" i="5" l="1"/>
  <c r="G317" i="5"/>
  <c r="I318" i="5"/>
  <c r="G313" i="5"/>
  <c r="I314" i="5"/>
  <c r="G514" i="5"/>
  <c r="I515" i="5"/>
  <c r="G338" i="5"/>
  <c r="I339" i="5"/>
  <c r="G367" i="5"/>
  <c r="I368" i="5"/>
  <c r="G375" i="5"/>
  <c r="I376" i="5"/>
  <c r="G401" i="5"/>
  <c r="I402" i="5"/>
  <c r="I462" i="5"/>
  <c r="G461" i="5"/>
  <c r="G345" i="5"/>
  <c r="I346" i="5"/>
  <c r="I410" i="5"/>
  <c r="G409" i="5"/>
  <c r="G499" i="5"/>
  <c r="I500" i="5"/>
  <c r="I627" i="5"/>
  <c r="G620" i="5"/>
  <c r="I620" i="5" s="1"/>
  <c r="G506" i="5"/>
  <c r="I507" i="5"/>
  <c r="G352" i="5"/>
  <c r="I353" i="5"/>
  <c r="G433" i="5"/>
  <c r="G489" i="5"/>
  <c r="I490" i="5"/>
  <c r="G381" i="5"/>
  <c r="I382" i="5"/>
  <c r="G315" i="5"/>
  <c r="I315" i="5" s="1"/>
  <c r="G307" i="5"/>
  <c r="G298" i="5"/>
  <c r="G294" i="5"/>
  <c r="G285" i="5"/>
  <c r="G281" i="5"/>
  <c r="G274" i="5"/>
  <c r="G267" i="5"/>
  <c r="G258" i="5"/>
  <c r="G254" i="5"/>
  <c r="G250" i="5"/>
  <c r="G246" i="5"/>
  <c r="G240" i="5"/>
  <c r="G236" i="5"/>
  <c r="G231" i="5"/>
  <c r="G216" i="5"/>
  <c r="G211" i="5"/>
  <c r="G198" i="5"/>
  <c r="G189" i="5"/>
  <c r="G184" i="5"/>
  <c r="G176" i="5"/>
  <c r="G170" i="5"/>
  <c r="G163" i="5"/>
  <c r="G160" i="5"/>
  <c r="G153" i="5"/>
  <c r="G150" i="5"/>
  <c r="G142" i="5"/>
  <c r="G127" i="5"/>
  <c r="G123" i="5"/>
  <c r="G115" i="5"/>
  <c r="G108" i="5"/>
  <c r="G101" i="5"/>
  <c r="G94" i="5"/>
  <c r="G86" i="5"/>
  <c r="G78" i="5"/>
  <c r="G71" i="5"/>
  <c r="G68" i="5"/>
  <c r="G53" i="5"/>
  <c r="G49" i="5"/>
  <c r="G32" i="5"/>
  <c r="G28" i="5"/>
  <c r="G25" i="5"/>
  <c r="G22" i="5"/>
  <c r="G15" i="5"/>
  <c r="G14" i="5" s="1"/>
  <c r="G13" i="5" s="1"/>
  <c r="G12" i="5" s="1"/>
  <c r="G11" i="5" s="1"/>
  <c r="G10" i="5" s="1"/>
  <c r="F263" i="3"/>
  <c r="F1025" i="3"/>
  <c r="F772" i="3"/>
  <c r="H263" i="3" l="1"/>
  <c r="G24" i="5"/>
  <c r="I24" i="5" s="1"/>
  <c r="I25" i="5"/>
  <c r="G31" i="5"/>
  <c r="I32" i="5"/>
  <c r="G54" i="5"/>
  <c r="I54" i="5" s="1"/>
  <c r="I53" i="5"/>
  <c r="G72" i="5"/>
  <c r="I72" i="5" s="1"/>
  <c r="I71" i="5"/>
  <c r="G85" i="5"/>
  <c r="I86" i="5"/>
  <c r="G102" i="5"/>
  <c r="I102" i="5" s="1"/>
  <c r="I101" i="5"/>
  <c r="G116" i="5"/>
  <c r="I116" i="5" s="1"/>
  <c r="I115" i="5"/>
  <c r="G126" i="5"/>
  <c r="G125" i="5" s="1"/>
  <c r="I125" i="5" s="1"/>
  <c r="I127" i="5"/>
  <c r="G151" i="5"/>
  <c r="I151" i="5" s="1"/>
  <c r="I150" i="5"/>
  <c r="G161" i="5"/>
  <c r="I161" i="5" s="1"/>
  <c r="I160" i="5"/>
  <c r="G169" i="5"/>
  <c r="I170" i="5"/>
  <c r="G185" i="5"/>
  <c r="I185" i="5" s="1"/>
  <c r="I184" i="5"/>
  <c r="G199" i="5"/>
  <c r="I199" i="5" s="1"/>
  <c r="I198" i="5"/>
  <c r="G217" i="5"/>
  <c r="I217" i="5" s="1"/>
  <c r="I216" i="5"/>
  <c r="G237" i="5"/>
  <c r="I237" i="5" s="1"/>
  <c r="I236" i="5"/>
  <c r="G247" i="5"/>
  <c r="I247" i="5" s="1"/>
  <c r="I246" i="5"/>
  <c r="G255" i="5"/>
  <c r="I255" i="5" s="1"/>
  <c r="I254" i="5"/>
  <c r="G268" i="5"/>
  <c r="I268" i="5" s="1"/>
  <c r="I267" i="5"/>
  <c r="G280" i="5"/>
  <c r="I281" i="5"/>
  <c r="G295" i="5"/>
  <c r="I295" i="5" s="1"/>
  <c r="I294" i="5"/>
  <c r="G308" i="5"/>
  <c r="I308" i="5" s="1"/>
  <c r="I307" i="5"/>
  <c r="I381" i="5"/>
  <c r="G488" i="5"/>
  <c r="I488" i="5" s="1"/>
  <c r="I489" i="5"/>
  <c r="G408" i="5"/>
  <c r="I408" i="5" s="1"/>
  <c r="I409" i="5"/>
  <c r="G460" i="5"/>
  <c r="I460" i="5" s="1"/>
  <c r="I461" i="5"/>
  <c r="H772" i="3"/>
  <c r="H1025" i="3"/>
  <c r="G21" i="5"/>
  <c r="I21" i="5" s="1"/>
  <c r="I22" i="5"/>
  <c r="G27" i="5"/>
  <c r="I27" i="5" s="1"/>
  <c r="I28" i="5"/>
  <c r="G50" i="5"/>
  <c r="I50" i="5" s="1"/>
  <c r="I49" i="5"/>
  <c r="G67" i="5"/>
  <c r="I67" i="5" s="1"/>
  <c r="I68" i="5"/>
  <c r="G79" i="5"/>
  <c r="I79" i="5" s="1"/>
  <c r="I78" i="5"/>
  <c r="G95" i="5"/>
  <c r="I95" i="5" s="1"/>
  <c r="I94" i="5"/>
  <c r="G109" i="5"/>
  <c r="I109" i="5" s="1"/>
  <c r="I108" i="5"/>
  <c r="G124" i="5"/>
  <c r="I124" i="5" s="1"/>
  <c r="I123" i="5"/>
  <c r="G152" i="5"/>
  <c r="I152" i="5" s="1"/>
  <c r="I153" i="5"/>
  <c r="G162" i="5"/>
  <c r="I162" i="5" s="1"/>
  <c r="I163" i="5"/>
  <c r="G175" i="5"/>
  <c r="I176" i="5"/>
  <c r="G190" i="5"/>
  <c r="I190" i="5" s="1"/>
  <c r="I189" i="5"/>
  <c r="G212" i="5"/>
  <c r="I212" i="5" s="1"/>
  <c r="I211" i="5"/>
  <c r="G232" i="5"/>
  <c r="I231" i="5"/>
  <c r="G241" i="5"/>
  <c r="I241" i="5" s="1"/>
  <c r="I240" i="5"/>
  <c r="G249" i="5"/>
  <c r="I250" i="5"/>
  <c r="G257" i="5"/>
  <c r="I258" i="5"/>
  <c r="G275" i="5"/>
  <c r="I275" i="5" s="1"/>
  <c r="I274" i="5"/>
  <c r="G286" i="5"/>
  <c r="I286" i="5" s="1"/>
  <c r="I285" i="5"/>
  <c r="G297" i="5"/>
  <c r="I298" i="5"/>
  <c r="I433" i="5"/>
  <c r="G432" i="5"/>
  <c r="I432" i="5" s="1"/>
  <c r="G351" i="5"/>
  <c r="I351" i="5" s="1"/>
  <c r="I352" i="5"/>
  <c r="G505" i="5"/>
  <c r="I505" i="5" s="1"/>
  <c r="I506" i="5"/>
  <c r="G498" i="5"/>
  <c r="I498" i="5" s="1"/>
  <c r="I499" i="5"/>
  <c r="G344" i="5"/>
  <c r="I344" i="5" s="1"/>
  <c r="I345" i="5"/>
  <c r="G400" i="5"/>
  <c r="I400" i="5" s="1"/>
  <c r="I401" i="5"/>
  <c r="G374" i="5"/>
  <c r="I374" i="5" s="1"/>
  <c r="I375" i="5"/>
  <c r="G366" i="5"/>
  <c r="I367" i="5"/>
  <c r="G337" i="5"/>
  <c r="I337" i="5" s="1"/>
  <c r="I338" i="5"/>
  <c r="G513" i="5"/>
  <c r="I513" i="5" s="1"/>
  <c r="I514" i="5"/>
  <c r="G312" i="5"/>
  <c r="I313" i="5"/>
  <c r="G316" i="5"/>
  <c r="I316" i="5" s="1"/>
  <c r="I317" i="5"/>
  <c r="G143" i="5"/>
  <c r="I143" i="5" s="1"/>
  <c r="I142" i="5"/>
  <c r="G253" i="5"/>
  <c r="G306" i="5"/>
  <c r="G177" i="5"/>
  <c r="I177" i="5" s="1"/>
  <c r="G164" i="5"/>
  <c r="I164" i="5" s="1"/>
  <c r="G245" i="5"/>
  <c r="G282" i="5"/>
  <c r="I282" i="5" s="1"/>
  <c r="G154" i="5"/>
  <c r="I154" i="5" s="1"/>
  <c r="G284" i="5"/>
  <c r="G128" i="5"/>
  <c r="I128" i="5" s="1"/>
  <c r="G149" i="5"/>
  <c r="G159" i="5"/>
  <c r="G171" i="5"/>
  <c r="I171" i="5" s="1"/>
  <c r="G299" i="5"/>
  <c r="I299" i="5" s="1"/>
  <c r="G251" i="5"/>
  <c r="I251" i="5" s="1"/>
  <c r="G293" i="5"/>
  <c r="G259" i="5"/>
  <c r="I259" i="5" s="1"/>
  <c r="G273" i="5"/>
  <c r="G230" i="5"/>
  <c r="I230" i="5" s="1"/>
  <c r="G235" i="5"/>
  <c r="G239" i="5"/>
  <c r="G266" i="5"/>
  <c r="G183" i="5"/>
  <c r="G210" i="5"/>
  <c r="G215" i="5"/>
  <c r="G188" i="5"/>
  <c r="G197" i="5"/>
  <c r="G133" i="5"/>
  <c r="G122" i="5"/>
  <c r="I122" i="5" s="1"/>
  <c r="G114" i="5"/>
  <c r="G93" i="5"/>
  <c r="G100" i="5"/>
  <c r="G107" i="5"/>
  <c r="G87" i="5"/>
  <c r="I87" i="5" s="1"/>
  <c r="G48" i="5"/>
  <c r="G69" i="5"/>
  <c r="I69" i="5" s="1"/>
  <c r="G70" i="5"/>
  <c r="G77" i="5"/>
  <c r="G52" i="5"/>
  <c r="G23" i="5"/>
  <c r="I23" i="5" s="1"/>
  <c r="G29" i="5"/>
  <c r="I29" i="5" s="1"/>
  <c r="G33" i="5"/>
  <c r="I33" i="5" s="1"/>
  <c r="G26" i="5"/>
  <c r="I26" i="5" s="1"/>
  <c r="G16" i="5"/>
  <c r="J17" i="25"/>
  <c r="V33" i="25"/>
  <c r="P33" i="25"/>
  <c r="J33" i="25"/>
  <c r="V27" i="25"/>
  <c r="P27" i="25"/>
  <c r="J27" i="25"/>
  <c r="V16" i="25"/>
  <c r="P16" i="25"/>
  <c r="J16" i="25"/>
  <c r="I126" i="5" l="1"/>
  <c r="G20" i="5"/>
  <c r="I20" i="5" s="1"/>
  <c r="G76" i="5"/>
  <c r="I77" i="5"/>
  <c r="G113" i="5"/>
  <c r="I114" i="5"/>
  <c r="G196" i="5"/>
  <c r="I197" i="5"/>
  <c r="G214" i="5"/>
  <c r="I214" i="5" s="1"/>
  <c r="I215" i="5"/>
  <c r="G182" i="5"/>
  <c r="I183" i="5"/>
  <c r="G238" i="5"/>
  <c r="I238" i="5" s="1"/>
  <c r="I239" i="5"/>
  <c r="G148" i="5"/>
  <c r="I149" i="5"/>
  <c r="G283" i="5"/>
  <c r="I283" i="5" s="1"/>
  <c r="I284" i="5"/>
  <c r="G305" i="5"/>
  <c r="I306" i="5"/>
  <c r="G51" i="5"/>
  <c r="I51" i="5" s="1"/>
  <c r="I52" i="5"/>
  <c r="G66" i="5"/>
  <c r="I70" i="5"/>
  <c r="G47" i="5"/>
  <c r="I47" i="5" s="1"/>
  <c r="I48" i="5"/>
  <c r="G106" i="5"/>
  <c r="I107" i="5"/>
  <c r="G187" i="5"/>
  <c r="I188" i="5"/>
  <c r="G209" i="5"/>
  <c r="I210" i="5"/>
  <c r="G265" i="5"/>
  <c r="I266" i="5"/>
  <c r="G234" i="5"/>
  <c r="I234" i="5" s="1"/>
  <c r="I235" i="5"/>
  <c r="G272" i="5"/>
  <c r="I273" i="5"/>
  <c r="G292" i="5"/>
  <c r="I293" i="5"/>
  <c r="G158" i="5"/>
  <c r="I159" i="5"/>
  <c r="G244" i="5"/>
  <c r="I244" i="5" s="1"/>
  <c r="I245" i="5"/>
  <c r="G252" i="5"/>
  <c r="I252" i="5" s="1"/>
  <c r="I253" i="5"/>
  <c r="G311" i="5"/>
  <c r="I312" i="5"/>
  <c r="G365" i="5"/>
  <c r="I365" i="5" s="1"/>
  <c r="I366" i="5"/>
  <c r="G296" i="5"/>
  <c r="I296" i="5" s="1"/>
  <c r="I297" i="5"/>
  <c r="G256" i="5"/>
  <c r="I256" i="5" s="1"/>
  <c r="I257" i="5"/>
  <c r="G248" i="5"/>
  <c r="I248" i="5" s="1"/>
  <c r="I249" i="5"/>
  <c r="G233" i="5"/>
  <c r="I233" i="5" s="1"/>
  <c r="I232" i="5"/>
  <c r="G174" i="5"/>
  <c r="I175" i="5"/>
  <c r="G373" i="5"/>
  <c r="I373" i="5" s="1"/>
  <c r="G279" i="5"/>
  <c r="I279" i="5" s="1"/>
  <c r="I280" i="5"/>
  <c r="G168" i="5"/>
  <c r="I169" i="5"/>
  <c r="G84" i="5"/>
  <c r="I85" i="5"/>
  <c r="G30" i="5"/>
  <c r="I30" i="5" s="1"/>
  <c r="I31" i="5"/>
  <c r="G132" i="5"/>
  <c r="I132" i="5" s="1"/>
  <c r="I133" i="5"/>
  <c r="G99" i="5"/>
  <c r="I100" i="5"/>
  <c r="G92" i="5"/>
  <c r="I93" i="5"/>
  <c r="G121" i="5"/>
  <c r="H9" i="3"/>
  <c r="F1274" i="3"/>
  <c r="F1273" i="3" s="1"/>
  <c r="F1272" i="3" s="1"/>
  <c r="F1269" i="3"/>
  <c r="F1268" i="3" s="1"/>
  <c r="F1267" i="3" s="1"/>
  <c r="F1266" i="3" s="1"/>
  <c r="F1262" i="3"/>
  <c r="F1261" i="3" s="1"/>
  <c r="F1260" i="3"/>
  <c r="F1259" i="3" s="1"/>
  <c r="F1258" i="3"/>
  <c r="F1257" i="3" s="1"/>
  <c r="F1251" i="3"/>
  <c r="F1249" i="3"/>
  <c r="F1238" i="3"/>
  <c r="F1236" i="3"/>
  <c r="F1235" i="3" s="1"/>
  <c r="F1234" i="3"/>
  <c r="F1233" i="3" s="1"/>
  <c r="F1231" i="3"/>
  <c r="F1230" i="3" s="1"/>
  <c r="F1229" i="3" s="1"/>
  <c r="F1220" i="3"/>
  <c r="F1219" i="3" s="1"/>
  <c r="F1218" i="3" s="1"/>
  <c r="F1217" i="3"/>
  <c r="F1216" i="3" s="1"/>
  <c r="F1215" i="3"/>
  <c r="F1214" i="3" s="1"/>
  <c r="F1172" i="3"/>
  <c r="F1171" i="3" s="1"/>
  <c r="F1170" i="3" s="1"/>
  <c r="F1169" i="3" s="1"/>
  <c r="F1168" i="3" s="1"/>
  <c r="F1167" i="3"/>
  <c r="F1166" i="3" s="1"/>
  <c r="F1165" i="3" s="1"/>
  <c r="F1164" i="3" s="1"/>
  <c r="F1163" i="3"/>
  <c r="F1162" i="3" s="1"/>
  <c r="F1161" i="3" s="1"/>
  <c r="F1160" i="3" s="1"/>
  <c r="F1159" i="3"/>
  <c r="F1158" i="3" s="1"/>
  <c r="F1157" i="3" s="1"/>
  <c r="F1156" i="3" s="1"/>
  <c r="F1155" i="3"/>
  <c r="F1154" i="3" s="1"/>
  <c r="F1153" i="3" s="1"/>
  <c r="F1152" i="3"/>
  <c r="F1151" i="3" s="1"/>
  <c r="F1150" i="3" s="1"/>
  <c r="F1145" i="3"/>
  <c r="F1143" i="3" s="1"/>
  <c r="F1142" i="3"/>
  <c r="F1141" i="3" s="1"/>
  <c r="F1140" i="3" s="1"/>
  <c r="F1139" i="3"/>
  <c r="F1138" i="3" s="1"/>
  <c r="F1137" i="3" s="1"/>
  <c r="F1136" i="3"/>
  <c r="F1135" i="3" s="1"/>
  <c r="F1134" i="3" s="1"/>
  <c r="F1126" i="3"/>
  <c r="F1125" i="3" s="1"/>
  <c r="F1124" i="3" s="1"/>
  <c r="F1123" i="3" s="1"/>
  <c r="F1250" i="3"/>
  <c r="F1248" i="3"/>
  <c r="F1237" i="3"/>
  <c r="F1106" i="3"/>
  <c r="F1105" i="3" s="1"/>
  <c r="F1104" i="3" s="1"/>
  <c r="F1103" i="3" s="1"/>
  <c r="F1102" i="3" s="1"/>
  <c r="F1101" i="3" s="1"/>
  <c r="F1086" i="3"/>
  <c r="F1084" i="3"/>
  <c r="F1080" i="3"/>
  <c r="F1079" i="3" s="1"/>
  <c r="F1078" i="3" s="1"/>
  <c r="F1077" i="3" s="1"/>
  <c r="F1076" i="3"/>
  <c r="F1075" i="3" s="1"/>
  <c r="F1074" i="3"/>
  <c r="F1073" i="3" s="1"/>
  <c r="F1070" i="3"/>
  <c r="F1069" i="3" s="1"/>
  <c r="F1068" i="3"/>
  <c r="F1067" i="3" s="1"/>
  <c r="F1063" i="3"/>
  <c r="F1062" i="3" s="1"/>
  <c r="F1061" i="3" s="1"/>
  <c r="F1060" i="3" s="1"/>
  <c r="F1059" i="3" s="1"/>
  <c r="G288" i="4"/>
  <c r="F1114" i="3"/>
  <c r="F1113" i="3" s="1"/>
  <c r="F1112" i="3" s="1"/>
  <c r="F1107" i="3" s="1"/>
  <c r="H1107" i="3" s="1"/>
  <c r="F1111" i="3"/>
  <c r="F1110" i="3" s="1"/>
  <c r="F1109" i="3" s="1"/>
  <c r="F1095" i="3"/>
  <c r="F1094" i="3" s="1"/>
  <c r="F1093" i="3"/>
  <c r="F1092" i="3" s="1"/>
  <c r="F1056" i="3"/>
  <c r="F1055" i="3" s="1"/>
  <c r="F1054" i="3" s="1"/>
  <c r="F1053" i="3" s="1"/>
  <c r="F1052" i="3" s="1"/>
  <c r="F1051" i="3" s="1"/>
  <c r="D44" i="2" s="1"/>
  <c r="F1049" i="3"/>
  <c r="F1048" i="3" s="1"/>
  <c r="F1047" i="3" s="1"/>
  <c r="F1045" i="3" s="1"/>
  <c r="F1044" i="3"/>
  <c r="F1043" i="3" s="1"/>
  <c r="F1042" i="3" s="1"/>
  <c r="F1041" i="3" s="1"/>
  <c r="F1040" i="3" s="1"/>
  <c r="F1039" i="3" s="1"/>
  <c r="F1030" i="3"/>
  <c r="F1029" i="3" s="1"/>
  <c r="F1028" i="3"/>
  <c r="F1027" i="3" s="1"/>
  <c r="F1024" i="3"/>
  <c r="F1023" i="3" s="1"/>
  <c r="F1014" i="3"/>
  <c r="F1013" i="3" s="1"/>
  <c r="F1012" i="3" s="1"/>
  <c r="F1008" i="3"/>
  <c r="F1006" i="3"/>
  <c r="F1005" i="3" s="1"/>
  <c r="F1004" i="3"/>
  <c r="F1003" i="3" s="1"/>
  <c r="F998" i="3"/>
  <c r="F997" i="3" s="1"/>
  <c r="F996" i="3" s="1"/>
  <c r="F995" i="3"/>
  <c r="F994" i="3" s="1"/>
  <c r="F993" i="3" s="1"/>
  <c r="F987" i="3"/>
  <c r="F986" i="3" s="1"/>
  <c r="F985" i="3" s="1"/>
  <c r="F984" i="3"/>
  <c r="F983" i="3" s="1"/>
  <c r="F982" i="3" s="1"/>
  <c r="F979" i="3"/>
  <c r="F978" i="3" s="1"/>
  <c r="F973" i="3"/>
  <c r="F972" i="3" s="1"/>
  <c r="F971" i="3" s="1"/>
  <c r="F970" i="3"/>
  <c r="F969" i="3" s="1"/>
  <c r="F968" i="3" s="1"/>
  <c r="F966" i="3"/>
  <c r="F965" i="3" s="1"/>
  <c r="F964" i="3" s="1"/>
  <c r="F963" i="3" s="1"/>
  <c r="F958" i="3"/>
  <c r="F957" i="3" s="1"/>
  <c r="F956" i="3" s="1"/>
  <c r="F955" i="3"/>
  <c r="F954" i="3" s="1"/>
  <c r="F953" i="3" s="1"/>
  <c r="F951" i="3"/>
  <c r="F950" i="3" s="1"/>
  <c r="F949" i="3" s="1"/>
  <c r="F948" i="3" s="1"/>
  <c r="F947" i="3"/>
  <c r="F946" i="3" s="1"/>
  <c r="F945" i="3"/>
  <c r="F944" i="3" s="1"/>
  <c r="F942" i="3"/>
  <c r="F941" i="3" s="1"/>
  <c r="F940" i="3" s="1"/>
  <c r="F938" i="3"/>
  <c r="F937" i="3" s="1"/>
  <c r="F936" i="3" s="1"/>
  <c r="F935" i="3"/>
  <c r="F934" i="3" s="1"/>
  <c r="F933" i="3" s="1"/>
  <c r="F932" i="3"/>
  <c r="F931" i="3" s="1"/>
  <c r="F930" i="3" s="1"/>
  <c r="F928" i="3"/>
  <c r="F927" i="3" s="1"/>
  <c r="F926" i="3" s="1"/>
  <c r="F925" i="3"/>
  <c r="F924" i="3" s="1"/>
  <c r="F923" i="3" s="1"/>
  <c r="F922" i="3"/>
  <c r="F921" i="3" s="1"/>
  <c r="F920" i="3" s="1"/>
  <c r="F919" i="3"/>
  <c r="F918" i="3" s="1"/>
  <c r="F905" i="3"/>
  <c r="F904" i="3" s="1"/>
  <c r="F903" i="3"/>
  <c r="F902" i="3" s="1"/>
  <c r="F901" i="3"/>
  <c r="F900" i="3" s="1"/>
  <c r="F898" i="3"/>
  <c r="F897" i="3" s="1"/>
  <c r="F896" i="3" s="1"/>
  <c r="F1007" i="3"/>
  <c r="F889" i="3"/>
  <c r="F888" i="3" s="1"/>
  <c r="F885" i="3"/>
  <c r="F884" i="3" s="1"/>
  <c r="F883" i="3" s="1"/>
  <c r="F882" i="3" s="1"/>
  <c r="F880" i="3"/>
  <c r="F879" i="3" s="1"/>
  <c r="F878" i="3" s="1"/>
  <c r="F877" i="3" s="1"/>
  <c r="F873" i="3"/>
  <c r="F872" i="3" s="1"/>
  <c r="F871" i="3"/>
  <c r="F870" i="3" s="1"/>
  <c r="F869" i="3"/>
  <c r="F868" i="3" s="1"/>
  <c r="F866" i="3"/>
  <c r="F865" i="3" s="1"/>
  <c r="F864" i="3" s="1"/>
  <c r="F852" i="3"/>
  <c r="F851" i="3" s="1"/>
  <c r="F850" i="3" s="1"/>
  <c r="F849" i="3"/>
  <c r="F848" i="3" s="1"/>
  <c r="F847" i="3"/>
  <c r="F846" i="3" s="1"/>
  <c r="F845" i="3"/>
  <c r="F844" i="3" s="1"/>
  <c r="F842" i="3"/>
  <c r="F841" i="3" s="1"/>
  <c r="F840" i="3"/>
  <c r="F839" i="3" s="1"/>
  <c r="F834" i="3"/>
  <c r="F833" i="3" s="1"/>
  <c r="F832" i="3" s="1"/>
  <c r="F831" i="3" s="1"/>
  <c r="F830" i="3"/>
  <c r="F829" i="3" s="1"/>
  <c r="F828" i="3"/>
  <c r="F827" i="3" s="1"/>
  <c r="F823" i="3"/>
  <c r="F822" i="3" s="1"/>
  <c r="F821" i="3"/>
  <c r="F820" i="3" s="1"/>
  <c r="F819" i="3" s="1"/>
  <c r="F808" i="3"/>
  <c r="F807" i="3" s="1"/>
  <c r="F806" i="3" s="1"/>
  <c r="F803" i="3"/>
  <c r="F802" i="3" s="1"/>
  <c r="F801" i="3" s="1"/>
  <c r="F800" i="3" s="1"/>
  <c r="F799" i="3" s="1"/>
  <c r="F794" i="3"/>
  <c r="F793" i="3" s="1"/>
  <c r="F792" i="3" s="1"/>
  <c r="F791" i="3" s="1"/>
  <c r="F790" i="3"/>
  <c r="F789" i="3" s="1"/>
  <c r="F788" i="3"/>
  <c r="F787" i="3" s="1"/>
  <c r="F786" i="3" s="1"/>
  <c r="F785" i="3"/>
  <c r="F784" i="3" s="1"/>
  <c r="F783" i="3" s="1"/>
  <c r="F771" i="3"/>
  <c r="F770" i="3"/>
  <c r="F769" i="3" s="1"/>
  <c r="F768" i="3"/>
  <c r="F767" i="3" s="1"/>
  <c r="F811" i="3"/>
  <c r="F810" i="3" s="1"/>
  <c r="F809" i="3" s="1"/>
  <c r="F759" i="3"/>
  <c r="F758" i="3" s="1"/>
  <c r="F757" i="3" s="1"/>
  <c r="F753" i="3" s="1"/>
  <c r="F752" i="3"/>
  <c r="F751" i="3" s="1"/>
  <c r="F750" i="3" s="1"/>
  <c r="F749" i="3" s="1"/>
  <c r="F741" i="3"/>
  <c r="F740" i="3" s="1"/>
  <c r="F739" i="3" s="1"/>
  <c r="F738" i="3" s="1"/>
  <c r="F735" i="3"/>
  <c r="F734" i="3" s="1"/>
  <c r="F733" i="3" s="1"/>
  <c r="F732" i="3" s="1"/>
  <c r="F731" i="3" s="1"/>
  <c r="F730" i="3"/>
  <c r="F729" i="3" s="1"/>
  <c r="F728" i="3" s="1"/>
  <c r="F727" i="3" s="1"/>
  <c r="F726" i="3" s="1"/>
  <c r="F721" i="3"/>
  <c r="F720" i="3" s="1"/>
  <c r="F719" i="3" s="1"/>
  <c r="F718" i="3" s="1"/>
  <c r="F717" i="3"/>
  <c r="F716" i="3" s="1"/>
  <c r="F715" i="3" s="1"/>
  <c r="F714" i="3" s="1"/>
  <c r="F713" i="3"/>
  <c r="F712" i="3" s="1"/>
  <c r="F711" i="3" s="1"/>
  <c r="F710" i="3" s="1"/>
  <c r="F709" i="3"/>
  <c r="F708" i="3" s="1"/>
  <c r="F707" i="3" s="1"/>
  <c r="F706" i="3" s="1"/>
  <c r="F705" i="3"/>
  <c r="F704" i="3" s="1"/>
  <c r="F703" i="3" s="1"/>
  <c r="F702" i="3" s="1"/>
  <c r="F701" i="3"/>
  <c r="F700" i="3" s="1"/>
  <c r="F699" i="3" s="1"/>
  <c r="F698" i="3"/>
  <c r="F697" i="3" s="1"/>
  <c r="F696" i="3" s="1"/>
  <c r="F694" i="3"/>
  <c r="F690" i="3" s="1"/>
  <c r="F689" i="3" s="1"/>
  <c r="F688" i="3"/>
  <c r="F687" i="3" s="1"/>
  <c r="F686" i="3" s="1"/>
  <c r="F685" i="3"/>
  <c r="F684" i="3" s="1"/>
  <c r="F683" i="3" s="1"/>
  <c r="F682" i="3"/>
  <c r="F681" i="3" s="1"/>
  <c r="F680" i="3" s="1"/>
  <c r="F675" i="3"/>
  <c r="F674" i="3" s="1"/>
  <c r="F673" i="3" s="1"/>
  <c r="F668" i="3"/>
  <c r="F667" i="3" s="1"/>
  <c r="F666" i="3" s="1"/>
  <c r="F665" i="3" s="1"/>
  <c r="F662" i="3"/>
  <c r="F661" i="3" s="1"/>
  <c r="F660" i="3" s="1"/>
  <c r="F659" i="3" s="1"/>
  <c r="F658" i="3" s="1"/>
  <c r="F657" i="3"/>
  <c r="F656" i="3" s="1"/>
  <c r="F655" i="3" s="1"/>
  <c r="F654" i="3" s="1"/>
  <c r="F653" i="3" s="1"/>
  <c r="F652" i="3"/>
  <c r="F651" i="3" s="1"/>
  <c r="F650" i="3" s="1"/>
  <c r="F649" i="3" s="1"/>
  <c r="F648" i="3"/>
  <c r="F647" i="3" s="1"/>
  <c r="F646" i="3" s="1"/>
  <c r="F645" i="3" s="1"/>
  <c r="F641" i="3"/>
  <c r="F640" i="3" s="1"/>
  <c r="F639" i="3" s="1"/>
  <c r="F638" i="3"/>
  <c r="F637" i="3" s="1"/>
  <c r="F636" i="3" s="1"/>
  <c r="F634" i="3"/>
  <c r="F633" i="3" s="1"/>
  <c r="F632" i="3" s="1"/>
  <c r="F631" i="3"/>
  <c r="F630" i="3" s="1"/>
  <c r="F629" i="3" s="1"/>
  <c r="F628" i="3"/>
  <c r="F627" i="3" s="1"/>
  <c r="F626" i="3" s="1"/>
  <c r="F624" i="3"/>
  <c r="F623" i="3" s="1"/>
  <c r="F622" i="3" s="1"/>
  <c r="F621" i="3" s="1"/>
  <c r="F620" i="3"/>
  <c r="F619" i="3" s="1"/>
  <c r="F618" i="3" s="1"/>
  <c r="F617" i="3" s="1"/>
  <c r="F613" i="3"/>
  <c r="F612" i="3" s="1"/>
  <c r="F611" i="3" s="1"/>
  <c r="F610" i="3" s="1"/>
  <c r="F609" i="3" s="1"/>
  <c r="F608" i="3" s="1"/>
  <c r="F606" i="3"/>
  <c r="F605" i="3" s="1"/>
  <c r="F604" i="3" s="1"/>
  <c r="F603" i="3" s="1"/>
  <c r="F602" i="3" s="1"/>
  <c r="F595" i="3"/>
  <c r="F594" i="3" s="1"/>
  <c r="F593" i="3"/>
  <c r="F592" i="3" s="1"/>
  <c r="F589" i="3"/>
  <c r="F576" i="3"/>
  <c r="F575" i="3" s="1"/>
  <c r="F574" i="3"/>
  <c r="F573" i="3" s="1"/>
  <c r="F572" i="3"/>
  <c r="F571" i="3" s="1"/>
  <c r="F569" i="3"/>
  <c r="F568" i="3" s="1"/>
  <c r="F567" i="3" s="1"/>
  <c r="F558" i="3"/>
  <c r="F557" i="3" s="1"/>
  <c r="F556" i="3" s="1"/>
  <c r="F553" i="3"/>
  <c r="F552" i="3" s="1"/>
  <c r="F551" i="3" s="1"/>
  <c r="F548" i="3"/>
  <c r="F547" i="3" s="1"/>
  <c r="F546" i="3"/>
  <c r="F545" i="3" s="1"/>
  <c r="F549" i="3"/>
  <c r="H549" i="3" s="1"/>
  <c r="G229" i="5" l="1"/>
  <c r="I229" i="5" s="1"/>
  <c r="G243" i="5"/>
  <c r="I243" i="5" s="1"/>
  <c r="H606" i="3"/>
  <c r="H592" i="3"/>
  <c r="H593" i="3"/>
  <c r="H613" i="3"/>
  <c r="H631" i="3"/>
  <c r="H717" i="3"/>
  <c r="H821" i="3"/>
  <c r="H771" i="3"/>
  <c r="H752" i="3"/>
  <c r="H1013" i="3"/>
  <c r="H1014" i="3"/>
  <c r="H987" i="3"/>
  <c r="H978" i="3"/>
  <c r="H979" i="3"/>
  <c r="H958" i="3"/>
  <c r="H925" i="3"/>
  <c r="H918" i="3"/>
  <c r="H919" i="3"/>
  <c r="G287" i="4"/>
  <c r="I287" i="4" s="1"/>
  <c r="I288" i="4"/>
  <c r="H1114" i="3"/>
  <c r="H1105" i="3"/>
  <c r="H1106" i="3"/>
  <c r="H1074" i="3"/>
  <c r="H1220" i="3"/>
  <c r="H1167" i="3"/>
  <c r="H1152" i="3"/>
  <c r="H1142" i="3"/>
  <c r="G120" i="5"/>
  <c r="I121" i="5"/>
  <c r="G83" i="5"/>
  <c r="I84" i="5"/>
  <c r="G167" i="5"/>
  <c r="I168" i="5"/>
  <c r="H594" i="3"/>
  <c r="H595" i="3"/>
  <c r="H589" i="3"/>
  <c r="H713" i="3"/>
  <c r="H698" i="3"/>
  <c r="H688" i="3"/>
  <c r="H682" i="3"/>
  <c r="H789" i="3"/>
  <c r="H790" i="3"/>
  <c r="H984" i="3"/>
  <c r="H973" i="3"/>
  <c r="H966" i="3"/>
  <c r="H955" i="3"/>
  <c r="H1111" i="3"/>
  <c r="H1086" i="3"/>
  <c r="H1143" i="3"/>
  <c r="H1145" i="3"/>
  <c r="G242" i="5"/>
  <c r="I242" i="5" s="1"/>
  <c r="G173" i="5"/>
  <c r="I174" i="5"/>
  <c r="I311" i="5"/>
  <c r="G310" i="5"/>
  <c r="G157" i="5"/>
  <c r="I158" i="5"/>
  <c r="G291" i="5"/>
  <c r="I291" i="5" s="1"/>
  <c r="I292" i="5"/>
  <c r="G271" i="5"/>
  <c r="I272" i="5"/>
  <c r="G264" i="5"/>
  <c r="I264" i="5" s="1"/>
  <c r="I265" i="5"/>
  <c r="G208" i="5"/>
  <c r="I208" i="5" s="1"/>
  <c r="I209" i="5"/>
  <c r="G186" i="5"/>
  <c r="I186" i="5" s="1"/>
  <c r="I187" i="5"/>
  <c r="G105" i="5"/>
  <c r="I106" i="5"/>
  <c r="G65" i="5"/>
  <c r="I66" i="5"/>
  <c r="G300" i="5"/>
  <c r="I300" i="5" s="1"/>
  <c r="I305" i="5"/>
  <c r="G147" i="5"/>
  <c r="I148" i="5"/>
  <c r="G181" i="5"/>
  <c r="I182" i="5"/>
  <c r="G195" i="5"/>
  <c r="I195" i="5" s="1"/>
  <c r="I196" i="5"/>
  <c r="G112" i="5"/>
  <c r="I113" i="5"/>
  <c r="G75" i="5"/>
  <c r="I76" i="5"/>
  <c r="G19" i="5"/>
  <c r="H575" i="3"/>
  <c r="H576" i="3"/>
  <c r="H573" i="3"/>
  <c r="H574" i="3"/>
  <c r="H571" i="3"/>
  <c r="H572" i="3"/>
  <c r="H569" i="3"/>
  <c r="H558" i="3"/>
  <c r="H553" i="3"/>
  <c r="H547" i="3"/>
  <c r="H548" i="3"/>
  <c r="H545" i="3"/>
  <c r="H546" i="3"/>
  <c r="H1250" i="3"/>
  <c r="H1251" i="3"/>
  <c r="H1248" i="3"/>
  <c r="H1249" i="3"/>
  <c r="H1237" i="3"/>
  <c r="H1238" i="3"/>
  <c r="H1235" i="3"/>
  <c r="H1236" i="3"/>
  <c r="H1233" i="3"/>
  <c r="H1234" i="3"/>
  <c r="H1231" i="3"/>
  <c r="H1216" i="3"/>
  <c r="H1217" i="3"/>
  <c r="H1214" i="3"/>
  <c r="H1215" i="3"/>
  <c r="H1163" i="3"/>
  <c r="H1159" i="3"/>
  <c r="H1155" i="3"/>
  <c r="H1139" i="3"/>
  <c r="H1136" i="3"/>
  <c r="H1126" i="3"/>
  <c r="H889" i="3"/>
  <c r="H885" i="3"/>
  <c r="H880" i="3"/>
  <c r="H872" i="3"/>
  <c r="H873" i="3"/>
  <c r="H870" i="3"/>
  <c r="H871" i="3"/>
  <c r="H868" i="3"/>
  <c r="H869" i="3"/>
  <c r="H866" i="3"/>
  <c r="H852" i="3"/>
  <c r="H848" i="3"/>
  <c r="H849" i="3"/>
  <c r="H846" i="3"/>
  <c r="H847" i="3"/>
  <c r="H844" i="3"/>
  <c r="H845" i="3"/>
  <c r="H841" i="3"/>
  <c r="H842" i="3"/>
  <c r="H839" i="3"/>
  <c r="H840" i="3"/>
  <c r="H759" i="3"/>
  <c r="H741" i="3"/>
  <c r="H730" i="3"/>
  <c r="H721" i="3"/>
  <c r="H709" i="3"/>
  <c r="H705" i="3"/>
  <c r="H701" i="3"/>
  <c r="H694" i="3"/>
  <c r="H685" i="3"/>
  <c r="H675" i="3"/>
  <c r="H668" i="3"/>
  <c r="H657" i="3"/>
  <c r="H652" i="3"/>
  <c r="H648" i="3"/>
  <c r="H641" i="3"/>
  <c r="H638" i="3"/>
  <c r="H634" i="3"/>
  <c r="H628" i="3"/>
  <c r="H624" i="3"/>
  <c r="H620" i="3"/>
  <c r="H1269" i="3"/>
  <c r="H1261" i="3"/>
  <c r="H1262" i="3"/>
  <c r="H1259" i="3"/>
  <c r="H1260" i="3"/>
  <c r="H1257" i="3"/>
  <c r="H1258" i="3"/>
  <c r="H1049" i="3"/>
  <c r="H1029" i="3"/>
  <c r="H1030" i="3"/>
  <c r="H1027" i="3"/>
  <c r="H1028" i="3"/>
  <c r="H1023" i="3"/>
  <c r="H1024" i="3"/>
  <c r="H1007" i="3"/>
  <c r="H1008" i="3"/>
  <c r="H1005" i="3"/>
  <c r="H1006" i="3"/>
  <c r="H1003" i="3"/>
  <c r="H1004" i="3"/>
  <c r="H970" i="3"/>
  <c r="H951" i="3"/>
  <c r="H946" i="3"/>
  <c r="H947" i="3"/>
  <c r="H944" i="3"/>
  <c r="H945" i="3"/>
  <c r="H942" i="3"/>
  <c r="H938" i="3"/>
  <c r="H935" i="3"/>
  <c r="H932" i="3"/>
  <c r="H928" i="3"/>
  <c r="H922" i="3"/>
  <c r="H904" i="3"/>
  <c r="H905" i="3"/>
  <c r="H902" i="3"/>
  <c r="H903" i="3"/>
  <c r="H900" i="3"/>
  <c r="H901" i="3"/>
  <c r="H898" i="3"/>
  <c r="H803" i="3"/>
  <c r="H794" i="3"/>
  <c r="H788" i="3"/>
  <c r="H785" i="3"/>
  <c r="H769" i="3"/>
  <c r="H770" i="3"/>
  <c r="H767" i="3"/>
  <c r="H768" i="3"/>
  <c r="H1094" i="3"/>
  <c r="H1095" i="3"/>
  <c r="H1092" i="3"/>
  <c r="H1093" i="3"/>
  <c r="H1056" i="3"/>
  <c r="H1172" i="3"/>
  <c r="H811" i="3"/>
  <c r="H735" i="3"/>
  <c r="H662" i="3"/>
  <c r="H1274" i="3"/>
  <c r="H998" i="3"/>
  <c r="H995" i="3"/>
  <c r="H808" i="3"/>
  <c r="H1080" i="3"/>
  <c r="H1075" i="3"/>
  <c r="H1076" i="3"/>
  <c r="H1069" i="3"/>
  <c r="H1070" i="3"/>
  <c r="H1067" i="3"/>
  <c r="H1068" i="3"/>
  <c r="H1063" i="3"/>
  <c r="H1044" i="3"/>
  <c r="H834" i="3"/>
  <c r="H829" i="3"/>
  <c r="H830" i="3"/>
  <c r="H827" i="3"/>
  <c r="H828" i="3"/>
  <c r="H824" i="3"/>
  <c r="G119" i="5"/>
  <c r="I120" i="5"/>
  <c r="G98" i="5"/>
  <c r="I99" i="5"/>
  <c r="G91" i="5"/>
  <c r="I92" i="5"/>
  <c r="H1218" i="3"/>
  <c r="H1219" i="3"/>
  <c r="H1012" i="3"/>
  <c r="H612" i="3"/>
  <c r="F679" i="3"/>
  <c r="F887" i="3"/>
  <c r="F886" i="3" s="1"/>
  <c r="F881" i="3" s="1"/>
  <c r="G228" i="5"/>
  <c r="F607" i="3"/>
  <c r="D33" i="2"/>
  <c r="F1144" i="3"/>
  <c r="F1108" i="3"/>
  <c r="F1271" i="3"/>
  <c r="F1270" i="3"/>
  <c r="F1256" i="3"/>
  <c r="H1144" i="3"/>
  <c r="F1247" i="3"/>
  <c r="F1246" i="3" s="1"/>
  <c r="F1245" i="3" s="1"/>
  <c r="F1232" i="3"/>
  <c r="F1228" i="3" s="1"/>
  <c r="F1213" i="3"/>
  <c r="F1212" i="3" s="1"/>
  <c r="F1133" i="3"/>
  <c r="F1149" i="3"/>
  <c r="F1083" i="3"/>
  <c r="F1082" i="3" s="1"/>
  <c r="F1081" i="3" s="1"/>
  <c r="D46" i="2" s="1"/>
  <c r="H1073" i="3"/>
  <c r="F1046" i="3"/>
  <c r="F1072" i="3"/>
  <c r="F1071" i="3" s="1"/>
  <c r="F1066" i="3"/>
  <c r="F1065" i="3" s="1"/>
  <c r="F1091" i="3"/>
  <c r="F899" i="3"/>
  <c r="F895" i="3" s="1"/>
  <c r="F1002" i="3"/>
  <c r="F981" i="3"/>
  <c r="F980" i="3" s="1"/>
  <c r="F967" i="3"/>
  <c r="F952" i="3"/>
  <c r="F943" i="3"/>
  <c r="F939" i="3" s="1"/>
  <c r="F929" i="3"/>
  <c r="F992" i="3"/>
  <c r="F991" i="3" s="1"/>
  <c r="F867" i="3"/>
  <c r="F843" i="3"/>
  <c r="F838" i="3"/>
  <c r="F826" i="3"/>
  <c r="F825" i="3" s="1"/>
  <c r="F805" i="3"/>
  <c r="F804" i="3" s="1"/>
  <c r="F766" i="3"/>
  <c r="F765" i="3" s="1"/>
  <c r="F782" i="3"/>
  <c r="F695" i="3"/>
  <c r="F625" i="3"/>
  <c r="F570" i="3"/>
  <c r="F566" i="3" s="1"/>
  <c r="F544" i="3"/>
  <c r="F543" i="3" s="1"/>
  <c r="F591" i="3"/>
  <c r="F481" i="3"/>
  <c r="F480" i="3" s="1"/>
  <c r="F479" i="3" s="1"/>
  <c r="F489" i="3"/>
  <c r="F488" i="3" s="1"/>
  <c r="F487" i="3" s="1"/>
  <c r="F492" i="3"/>
  <c r="F491" i="3" s="1"/>
  <c r="F494" i="3"/>
  <c r="F498" i="3"/>
  <c r="F497" i="3" s="1"/>
  <c r="F496" i="3" s="1"/>
  <c r="F501" i="3"/>
  <c r="F500" i="3" s="1"/>
  <c r="F499" i="3" s="1"/>
  <c r="F504" i="3"/>
  <c r="F503" i="3" s="1"/>
  <c r="F509" i="3"/>
  <c r="F508" i="3" s="1"/>
  <c r="F507" i="3" s="1"/>
  <c r="F512" i="3"/>
  <c r="F511" i="3" s="1"/>
  <c r="F510" i="3" s="1"/>
  <c r="F516" i="3"/>
  <c r="F515" i="3" s="1"/>
  <c r="F514" i="3" s="1"/>
  <c r="F513" i="3" s="1"/>
  <c r="F520" i="3"/>
  <c r="F519" i="3" s="1"/>
  <c r="F518" i="3" s="1"/>
  <c r="F517" i="3" s="1"/>
  <c r="F524" i="3"/>
  <c r="F523" i="3" s="1"/>
  <c r="F522" i="3" s="1"/>
  <c r="F521" i="3" s="1"/>
  <c r="F528" i="3"/>
  <c r="F527" i="3" s="1"/>
  <c r="F526" i="3" s="1"/>
  <c r="F525" i="3" s="1"/>
  <c r="F533" i="3"/>
  <c r="F532" i="3" s="1"/>
  <c r="F531" i="3" s="1"/>
  <c r="F530" i="3" s="1"/>
  <c r="F540" i="3"/>
  <c r="F539" i="3" s="1"/>
  <c r="F538" i="3" s="1"/>
  <c r="F537" i="3"/>
  <c r="F536" i="3" s="1"/>
  <c r="F535" i="3" s="1"/>
  <c r="F475" i="3"/>
  <c r="F474" i="3" s="1"/>
  <c r="F473" i="3" s="1"/>
  <c r="F472" i="3" s="1"/>
  <c r="F471" i="3" s="1"/>
  <c r="F470" i="3"/>
  <c r="F469" i="3" s="1"/>
  <c r="F468" i="3" s="1"/>
  <c r="F467" i="3" s="1"/>
  <c r="F466" i="3"/>
  <c r="F465" i="3" s="1"/>
  <c r="F464" i="3" s="1"/>
  <c r="F463" i="3" s="1"/>
  <c r="F462" i="3"/>
  <c r="F461" i="3" s="1"/>
  <c r="F460" i="3" s="1"/>
  <c r="F459" i="3" s="1"/>
  <c r="F458" i="3"/>
  <c r="F457" i="3" s="1"/>
  <c r="F456" i="3" s="1"/>
  <c r="F455" i="3" s="1"/>
  <c r="F454" i="3"/>
  <c r="F453" i="3" s="1"/>
  <c r="F452" i="3" s="1"/>
  <c r="F451" i="3" s="1"/>
  <c r="F450" i="3"/>
  <c r="F449" i="3" s="1"/>
  <c r="F448" i="3" s="1"/>
  <c r="F447" i="3" s="1"/>
  <c r="F446" i="3"/>
  <c r="F445" i="3" s="1"/>
  <c r="F444" i="3"/>
  <c r="F443" i="3" s="1"/>
  <c r="F440" i="3"/>
  <c r="F439" i="3" s="1"/>
  <c r="F438" i="3" s="1"/>
  <c r="F437" i="3" s="1"/>
  <c r="F435" i="3"/>
  <c r="F434" i="3" s="1"/>
  <c r="F433" i="3" s="1"/>
  <c r="F432" i="3"/>
  <c r="F431" i="3" s="1"/>
  <c r="F430" i="3"/>
  <c r="F429" i="3" s="1"/>
  <c r="F427" i="3"/>
  <c r="F426" i="3" s="1"/>
  <c r="F425" i="3" s="1"/>
  <c r="F424" i="3"/>
  <c r="F423" i="3" s="1"/>
  <c r="F422" i="3"/>
  <c r="F421" i="3" s="1"/>
  <c r="F418" i="3"/>
  <c r="F417" i="3"/>
  <c r="F415" i="3"/>
  <c r="F414" i="3" s="1"/>
  <c r="F412" i="3"/>
  <c r="F411" i="3"/>
  <c r="F409" i="3"/>
  <c r="F408" i="3" s="1"/>
  <c r="F403" i="3"/>
  <c r="F402" i="3" s="1"/>
  <c r="F401" i="3" s="1"/>
  <c r="F400" i="3" s="1"/>
  <c r="F393" i="3"/>
  <c r="F392" i="3" s="1"/>
  <c r="F391" i="3"/>
  <c r="F390" i="3" s="1"/>
  <c r="F389" i="3" s="1"/>
  <c r="F361" i="3"/>
  <c r="F360" i="3" s="1"/>
  <c r="F359" i="3"/>
  <c r="F358" i="3" s="1"/>
  <c r="F384" i="3"/>
  <c r="F383" i="3" s="1"/>
  <c r="F382" i="3" s="1"/>
  <c r="F381" i="3" s="1"/>
  <c r="F380" i="3" s="1"/>
  <c r="F367" i="3"/>
  <c r="F366" i="3" s="1"/>
  <c r="F365" i="3" s="1"/>
  <c r="F364" i="3" s="1"/>
  <c r="F371" i="3"/>
  <c r="F370" i="3" s="1"/>
  <c r="F369" i="3" s="1"/>
  <c r="F368" i="3" s="1"/>
  <c r="F375" i="3"/>
  <c r="F374" i="3" s="1"/>
  <c r="F373" i="3" s="1"/>
  <c r="F372" i="3" s="1"/>
  <c r="F379" i="3"/>
  <c r="F378" i="3" s="1"/>
  <c r="F377" i="3" s="1"/>
  <c r="F376" i="3" s="1"/>
  <c r="F353" i="3"/>
  <c r="F352" i="3" s="1"/>
  <c r="F351" i="3" s="1"/>
  <c r="F350" i="3"/>
  <c r="F349" i="3" s="1"/>
  <c r="F348" i="3"/>
  <c r="F347" i="3" s="1"/>
  <c r="F346" i="3"/>
  <c r="F345" i="3" s="1"/>
  <c r="F342" i="3"/>
  <c r="F341" i="3" s="1"/>
  <c r="F340" i="3" s="1"/>
  <c r="F339" i="3" s="1"/>
  <c r="F336" i="3"/>
  <c r="F335" i="3" s="1"/>
  <c r="F334" i="3" s="1"/>
  <c r="F333" i="3" s="1"/>
  <c r="F332" i="3" s="1"/>
  <c r="F331" i="3" s="1"/>
  <c r="D24" i="2" s="1"/>
  <c r="F330" i="3"/>
  <c r="F329" i="3" s="1"/>
  <c r="F328" i="3" s="1"/>
  <c r="F327" i="3" s="1"/>
  <c r="F326" i="3"/>
  <c r="F325" i="3" s="1"/>
  <c r="F324" i="3" s="1"/>
  <c r="F323" i="3" s="1"/>
  <c r="F303" i="3"/>
  <c r="F302" i="3" s="1"/>
  <c r="F301" i="3" s="1"/>
  <c r="F306" i="3"/>
  <c r="F305" i="3" s="1"/>
  <c r="F304" i="3" s="1"/>
  <c r="F296" i="3"/>
  <c r="F295" i="3" s="1"/>
  <c r="F294" i="3"/>
  <c r="F293" i="3" s="1"/>
  <c r="F292" i="3"/>
  <c r="F291" i="3" s="1"/>
  <c r="F289" i="3"/>
  <c r="F288" i="3" s="1"/>
  <c r="F287" i="3" s="1"/>
  <c r="F282" i="3"/>
  <c r="F281" i="3" s="1"/>
  <c r="F280" i="3" s="1"/>
  <c r="F279" i="3" s="1"/>
  <c r="F278" i="3" s="1"/>
  <c r="F277" i="3" s="1"/>
  <c r="F276" i="3" s="1"/>
  <c r="F275" i="3"/>
  <c r="F274" i="3" s="1"/>
  <c r="F273" i="3" s="1"/>
  <c r="F272" i="3" s="1"/>
  <c r="F271" i="3" s="1"/>
  <c r="F270" i="3"/>
  <c r="F269" i="3" s="1"/>
  <c r="F262" i="3"/>
  <c r="F261" i="3" s="1"/>
  <c r="F260" i="3" s="1"/>
  <c r="F259" i="3" s="1"/>
  <c r="F254" i="3"/>
  <c r="F253" i="3" s="1"/>
  <c r="F252" i="3" s="1"/>
  <c r="F251" i="3" s="1"/>
  <c r="F258" i="3"/>
  <c r="F257" i="3" s="1"/>
  <c r="F256" i="3" s="1"/>
  <c r="F255" i="3" s="1"/>
  <c r="F237" i="3"/>
  <c r="F236" i="3" s="1"/>
  <c r="F235" i="3" s="1"/>
  <c r="F249" i="3"/>
  <c r="F248" i="3" s="1"/>
  <c r="F247" i="3" s="1"/>
  <c r="F246" i="3"/>
  <c r="F245" i="3" s="1"/>
  <c r="F244" i="3" s="1"/>
  <c r="F243" i="3"/>
  <c r="F242" i="3" s="1"/>
  <c r="F241" i="3" s="1"/>
  <c r="F240" i="3"/>
  <c r="F239" i="3" s="1"/>
  <c r="F238" i="3" s="1"/>
  <c r="F228" i="3"/>
  <c r="F227" i="3" s="1"/>
  <c r="F226" i="3" s="1"/>
  <c r="F223" i="3"/>
  <c r="F222" i="3" s="1"/>
  <c r="F221" i="3" s="1"/>
  <c r="F220" i="3"/>
  <c r="F219" i="3" s="1"/>
  <c r="F218" i="3" s="1"/>
  <c r="F232" i="3"/>
  <c r="F231" i="3" s="1"/>
  <c r="F230" i="3" s="1"/>
  <c r="F229" i="3" s="1"/>
  <c r="F214" i="3"/>
  <c r="F213" i="3" s="1"/>
  <c r="F212" i="3" s="1"/>
  <c r="H186" i="3"/>
  <c r="F186" i="3"/>
  <c r="F183" i="3"/>
  <c r="F182" i="3" s="1"/>
  <c r="F181" i="3"/>
  <c r="F180" i="3" s="1"/>
  <c r="F178" i="3"/>
  <c r="F177" i="3" s="1"/>
  <c r="F176" i="3" s="1"/>
  <c r="F201" i="3"/>
  <c r="F200" i="3" s="1"/>
  <c r="F199" i="3"/>
  <c r="F198" i="3" s="1"/>
  <c r="F207" i="3"/>
  <c r="H207" i="3" s="1"/>
  <c r="F205" i="3"/>
  <c r="F204" i="3" s="1"/>
  <c r="F172" i="3"/>
  <c r="F171" i="3" s="1"/>
  <c r="F170" i="3" s="1"/>
  <c r="F169" i="3" s="1"/>
  <c r="F168" i="3" s="1"/>
  <c r="F167" i="3" s="1"/>
  <c r="D16" i="2" s="1"/>
  <c r="F166" i="3"/>
  <c r="F165" i="3" s="1"/>
  <c r="F164" i="3"/>
  <c r="F163" i="3" s="1"/>
  <c r="F155" i="3"/>
  <c r="F154" i="3" s="1"/>
  <c r="F153" i="3" s="1"/>
  <c r="F152" i="3"/>
  <c r="F151" i="3" s="1"/>
  <c r="F150" i="3" s="1"/>
  <c r="F149" i="3"/>
  <c r="F148" i="3" s="1"/>
  <c r="F147" i="3"/>
  <c r="F146" i="3" s="1"/>
  <c r="F145" i="3"/>
  <c r="F144" i="3" s="1"/>
  <c r="F135" i="3"/>
  <c r="F134" i="3" s="1"/>
  <c r="F133" i="3" s="1"/>
  <c r="F132" i="3"/>
  <c r="F131" i="3" s="1"/>
  <c r="F128" i="3"/>
  <c r="F127" i="3" s="1"/>
  <c r="F122" i="3"/>
  <c r="F121" i="3" s="1"/>
  <c r="F120" i="3" s="1"/>
  <c r="F119" i="3" s="1"/>
  <c r="F118" i="3"/>
  <c r="F117" i="3" s="1"/>
  <c r="F116" i="3" s="1"/>
  <c r="F115" i="3"/>
  <c r="F114" i="3" s="1"/>
  <c r="F113" i="3"/>
  <c r="F112" i="3" s="1"/>
  <c r="F109" i="3"/>
  <c r="F108" i="3" s="1"/>
  <c r="F107" i="3" s="1"/>
  <c r="F106" i="3" s="1"/>
  <c r="F104" i="3"/>
  <c r="F103" i="3" s="1"/>
  <c r="F99" i="3"/>
  <c r="F98" i="3" s="1"/>
  <c r="F97" i="3"/>
  <c r="F96" i="3" s="1"/>
  <c r="F94" i="3"/>
  <c r="F93" i="3" s="1"/>
  <c r="F89" i="3"/>
  <c r="F88" i="3" s="1"/>
  <c r="F87" i="3" s="1"/>
  <c r="F76" i="3"/>
  <c r="F75" i="3" s="1"/>
  <c r="F74" i="3" s="1"/>
  <c r="F73" i="3"/>
  <c r="F72" i="3" s="1"/>
  <c r="F71" i="3"/>
  <c r="F70" i="3" s="1"/>
  <c r="F68" i="3"/>
  <c r="F67" i="3" s="1"/>
  <c r="F64" i="3"/>
  <c r="F63" i="3" s="1"/>
  <c r="F62" i="3"/>
  <c r="F61" i="3" s="1"/>
  <c r="F50" i="3"/>
  <c r="F49" i="3" s="1"/>
  <c r="F48" i="3" s="1"/>
  <c r="F47" i="3"/>
  <c r="F46" i="3" s="1"/>
  <c r="F45" i="3"/>
  <c r="F44" i="3" s="1"/>
  <c r="F40" i="3"/>
  <c r="F39" i="3" s="1"/>
  <c r="F38" i="3"/>
  <c r="F37" i="3" s="1"/>
  <c r="F26" i="3"/>
  <c r="F25" i="3" s="1"/>
  <c r="F24" i="3" s="1"/>
  <c r="F23" i="3" s="1"/>
  <c r="F22" i="3" s="1"/>
  <c r="F21" i="3"/>
  <c r="F20" i="3" s="1"/>
  <c r="F19" i="3" s="1"/>
  <c r="F16" i="3"/>
  <c r="F15" i="3" s="1"/>
  <c r="F14" i="3" s="1"/>
  <c r="H418" i="3" l="1"/>
  <c r="H411" i="3"/>
  <c r="H838" i="3"/>
  <c r="H943" i="3"/>
  <c r="H867" i="3"/>
  <c r="H1046" i="3"/>
  <c r="H26" i="3"/>
  <c r="H118" i="3"/>
  <c r="H93" i="3"/>
  <c r="H94" i="3"/>
  <c r="H148" i="3"/>
  <c r="H149" i="3"/>
  <c r="H163" i="3"/>
  <c r="H164" i="3"/>
  <c r="H223" i="3"/>
  <c r="H249" i="3"/>
  <c r="H243" i="3"/>
  <c r="H306" i="3"/>
  <c r="H330" i="3"/>
  <c r="H349" i="3"/>
  <c r="H350" i="3"/>
  <c r="H345" i="3"/>
  <c r="H346" i="3"/>
  <c r="H379" i="3"/>
  <c r="H371" i="3"/>
  <c r="H392" i="3"/>
  <c r="H393" i="3"/>
  <c r="H435" i="3"/>
  <c r="H429" i="3"/>
  <c r="H430" i="3"/>
  <c r="H423" i="3"/>
  <c r="H424" i="3"/>
  <c r="H475" i="3"/>
  <c r="H458" i="3"/>
  <c r="H450" i="3"/>
  <c r="H443" i="3"/>
  <c r="H444" i="3"/>
  <c r="H481" i="3"/>
  <c r="H498" i="3"/>
  <c r="H503" i="3"/>
  <c r="H504" i="3"/>
  <c r="H512" i="3"/>
  <c r="H520" i="3"/>
  <c r="H537" i="3"/>
  <c r="H570" i="3"/>
  <c r="H982" i="3"/>
  <c r="H983" i="3"/>
  <c r="G227" i="5"/>
  <c r="I227" i="5" s="1"/>
  <c r="I228" i="5"/>
  <c r="G309" i="5"/>
  <c r="I309" i="5" s="1"/>
  <c r="I310" i="5"/>
  <c r="H680" i="3"/>
  <c r="H681" i="3"/>
  <c r="H686" i="3"/>
  <c r="H687" i="3"/>
  <c r="H696" i="3"/>
  <c r="H697" i="3"/>
  <c r="H712" i="3"/>
  <c r="H1113" i="3"/>
  <c r="H923" i="3"/>
  <c r="H924" i="3"/>
  <c r="H956" i="3"/>
  <c r="H957" i="3"/>
  <c r="H986" i="3"/>
  <c r="H751" i="3"/>
  <c r="H21" i="3"/>
  <c r="H46" i="3"/>
  <c r="H47" i="3"/>
  <c r="H122" i="3"/>
  <c r="H89" i="3"/>
  <c r="H165" i="3"/>
  <c r="H166" i="3"/>
  <c r="H204" i="3"/>
  <c r="H205" i="3"/>
  <c r="H232" i="3"/>
  <c r="H246" i="3"/>
  <c r="H235" i="3"/>
  <c r="H237" i="3"/>
  <c r="H282" i="3"/>
  <c r="H326" i="3"/>
  <c r="H353" i="3"/>
  <c r="H342" i="3"/>
  <c r="H375" i="3"/>
  <c r="H367" i="3"/>
  <c r="H431" i="3"/>
  <c r="H432" i="3"/>
  <c r="H427" i="3"/>
  <c r="H421" i="3"/>
  <c r="H422" i="3"/>
  <c r="H417" i="3"/>
  <c r="H412" i="3"/>
  <c r="H462" i="3"/>
  <c r="H454" i="3"/>
  <c r="H445" i="3"/>
  <c r="H446" i="3"/>
  <c r="H494" i="3"/>
  <c r="H501" i="3"/>
  <c r="H509" i="3"/>
  <c r="H544" i="3"/>
  <c r="H591" i="3"/>
  <c r="H843" i="3"/>
  <c r="H899" i="3"/>
  <c r="H1002" i="3"/>
  <c r="H1091" i="3"/>
  <c r="H1232" i="3"/>
  <c r="H1256" i="3"/>
  <c r="G18" i="5"/>
  <c r="I19" i="5"/>
  <c r="G74" i="5"/>
  <c r="I75" i="5"/>
  <c r="G111" i="5"/>
  <c r="I112" i="5"/>
  <c r="I181" i="5"/>
  <c r="G180" i="5"/>
  <c r="G146" i="5"/>
  <c r="I147" i="5"/>
  <c r="G64" i="5"/>
  <c r="I65" i="5"/>
  <c r="G104" i="5"/>
  <c r="I105" i="5"/>
  <c r="G270" i="5"/>
  <c r="I271" i="5"/>
  <c r="G156" i="5"/>
  <c r="I157" i="5"/>
  <c r="G172" i="5"/>
  <c r="I172" i="5" s="1"/>
  <c r="I173" i="5"/>
  <c r="H1109" i="3"/>
  <c r="H1110" i="3"/>
  <c r="H954" i="3"/>
  <c r="H965" i="3"/>
  <c r="H971" i="3"/>
  <c r="H972" i="3"/>
  <c r="G166" i="5"/>
  <c r="I167" i="5"/>
  <c r="G82" i="5"/>
  <c r="I83" i="5"/>
  <c r="H1140" i="3"/>
  <c r="H1141" i="3"/>
  <c r="H1150" i="3"/>
  <c r="H1151" i="3"/>
  <c r="H1166" i="3"/>
  <c r="H819" i="3"/>
  <c r="H820" i="3"/>
  <c r="H716" i="3"/>
  <c r="H629" i="3"/>
  <c r="H630" i="3"/>
  <c r="H605" i="3"/>
  <c r="H228" i="3"/>
  <c r="H50" i="3"/>
  <c r="H44" i="3"/>
  <c r="H45" i="3"/>
  <c r="H39" i="3"/>
  <c r="H40" i="3"/>
  <c r="H37" i="3"/>
  <c r="H38" i="3"/>
  <c r="H567" i="3"/>
  <c r="H568" i="3"/>
  <c r="H556" i="3"/>
  <c r="H557" i="3"/>
  <c r="H551" i="3"/>
  <c r="H552" i="3"/>
  <c r="H540" i="3"/>
  <c r="H533" i="3"/>
  <c r="H528" i="3"/>
  <c r="H524" i="3"/>
  <c r="H516" i="3"/>
  <c r="H491" i="3"/>
  <c r="H492" i="3"/>
  <c r="H489" i="3"/>
  <c r="H470" i="3"/>
  <c r="H466" i="3"/>
  <c r="H440" i="3"/>
  <c r="H414" i="3"/>
  <c r="H415" i="3"/>
  <c r="H408" i="3"/>
  <c r="H409" i="3"/>
  <c r="H403" i="3"/>
  <c r="H391" i="3"/>
  <c r="H347" i="3"/>
  <c r="H348" i="3"/>
  <c r="H336" i="3"/>
  <c r="H182" i="3"/>
  <c r="H183" i="3"/>
  <c r="H180" i="3"/>
  <c r="H181" i="3"/>
  <c r="H178" i="3"/>
  <c r="H1247" i="3"/>
  <c r="H1229" i="3"/>
  <c r="H1230" i="3"/>
  <c r="H1213" i="3"/>
  <c r="H1162" i="3"/>
  <c r="H1158" i="3"/>
  <c r="H1154" i="3"/>
  <c r="H1137" i="3"/>
  <c r="H1138" i="3"/>
  <c r="H1135" i="3"/>
  <c r="H1125" i="3"/>
  <c r="H888" i="3"/>
  <c r="H884" i="3"/>
  <c r="H879" i="3"/>
  <c r="H864" i="3"/>
  <c r="H865" i="3"/>
  <c r="H850" i="3"/>
  <c r="H851" i="3"/>
  <c r="H758" i="3"/>
  <c r="H740" i="3"/>
  <c r="H729" i="3"/>
  <c r="H720" i="3"/>
  <c r="H708" i="3"/>
  <c r="H704" i="3"/>
  <c r="H700" i="3"/>
  <c r="H689" i="3"/>
  <c r="H690" i="3"/>
  <c r="H684" i="3"/>
  <c r="H673" i="3"/>
  <c r="H674" i="3"/>
  <c r="H667" i="3"/>
  <c r="H656" i="3"/>
  <c r="H651" i="3"/>
  <c r="H647" i="3"/>
  <c r="H639" i="3"/>
  <c r="H640" i="3"/>
  <c r="H637" i="3"/>
  <c r="H632" i="3"/>
  <c r="H633" i="3"/>
  <c r="H627" i="3"/>
  <c r="H623" i="3"/>
  <c r="H619" i="3"/>
  <c r="H200" i="3"/>
  <c r="H201" i="3"/>
  <c r="H198" i="3"/>
  <c r="H199" i="3"/>
  <c r="H155" i="3"/>
  <c r="H152" i="3"/>
  <c r="H146" i="3"/>
  <c r="H147" i="3"/>
  <c r="H144" i="3"/>
  <c r="H145" i="3"/>
  <c r="H1268" i="3"/>
  <c r="H1048" i="3"/>
  <c r="H969" i="3"/>
  <c r="H950" i="3"/>
  <c r="H940" i="3"/>
  <c r="H941" i="3"/>
  <c r="H936" i="3"/>
  <c r="H937" i="3"/>
  <c r="H933" i="3"/>
  <c r="H934" i="3"/>
  <c r="H931" i="3"/>
  <c r="H926" i="3"/>
  <c r="H927" i="3"/>
  <c r="H920" i="3"/>
  <c r="H921" i="3"/>
  <c r="H896" i="3"/>
  <c r="H897" i="3"/>
  <c r="H802" i="3"/>
  <c r="H793" i="3"/>
  <c r="H786" i="3"/>
  <c r="H787" i="3"/>
  <c r="H784" i="3"/>
  <c r="H765" i="3"/>
  <c r="H766" i="3"/>
  <c r="H240" i="3"/>
  <c r="H1055" i="3"/>
  <c r="H384" i="3"/>
  <c r="H360" i="3"/>
  <c r="H361" i="3"/>
  <c r="H358" i="3"/>
  <c r="H359" i="3"/>
  <c r="H303" i="3"/>
  <c r="H295" i="3"/>
  <c r="H296" i="3"/>
  <c r="H293" i="3"/>
  <c r="H294" i="3"/>
  <c r="H291" i="3"/>
  <c r="H292" i="3"/>
  <c r="H289" i="3"/>
  <c r="H114" i="3"/>
  <c r="H115" i="3"/>
  <c r="H112" i="3"/>
  <c r="H113" i="3"/>
  <c r="H109" i="3"/>
  <c r="H103" i="3"/>
  <c r="H104" i="3"/>
  <c r="H98" i="3"/>
  <c r="H99" i="3"/>
  <c r="H96" i="3"/>
  <c r="H97" i="3"/>
  <c r="H76" i="3"/>
  <c r="H72" i="3"/>
  <c r="H73" i="3"/>
  <c r="H70" i="3"/>
  <c r="H71" i="3"/>
  <c r="H67" i="3"/>
  <c r="H68" i="3"/>
  <c r="H63" i="3"/>
  <c r="H64" i="3"/>
  <c r="H61" i="3"/>
  <c r="H62" i="3"/>
  <c r="H16" i="3"/>
  <c r="H172" i="3"/>
  <c r="H214" i="3"/>
  <c r="H135" i="3"/>
  <c r="H131" i="3"/>
  <c r="H132" i="3"/>
  <c r="H127" i="3"/>
  <c r="H128" i="3"/>
  <c r="H275" i="3"/>
  <c r="H270" i="3"/>
  <c r="H262" i="3"/>
  <c r="H1171" i="3"/>
  <c r="H809" i="3"/>
  <c r="H810" i="3"/>
  <c r="H734" i="3"/>
  <c r="H661" i="3"/>
  <c r="H1273" i="3"/>
  <c r="H996" i="3"/>
  <c r="H997" i="3"/>
  <c r="H994" i="3"/>
  <c r="H807" i="3"/>
  <c r="H254" i="3"/>
  <c r="H258" i="3"/>
  <c r="H1079" i="3"/>
  <c r="H1071" i="3"/>
  <c r="H1072" i="3"/>
  <c r="H1065" i="3"/>
  <c r="H1066" i="3"/>
  <c r="H1062" i="3"/>
  <c r="H1043" i="3"/>
  <c r="H220" i="3"/>
  <c r="H833" i="3"/>
  <c r="H825" i="3"/>
  <c r="H826" i="3"/>
  <c r="H822" i="3"/>
  <c r="H823" i="3"/>
  <c r="G118" i="5"/>
  <c r="I119" i="5"/>
  <c r="G97" i="5"/>
  <c r="I98" i="5"/>
  <c r="G90" i="5"/>
  <c r="I91" i="5"/>
  <c r="H1228" i="3"/>
  <c r="H1212" i="3"/>
  <c r="H1104" i="3"/>
  <c r="H611" i="3"/>
  <c r="H510" i="3"/>
  <c r="H511" i="3"/>
  <c r="H499" i="3"/>
  <c r="H500" i="3"/>
  <c r="H480" i="3"/>
  <c r="H474" i="3"/>
  <c r="H370" i="3"/>
  <c r="H366" i="3"/>
  <c r="H325" i="3"/>
  <c r="H304" i="3"/>
  <c r="H305" i="3"/>
  <c r="H236" i="3"/>
  <c r="H231" i="3"/>
  <c r="H221" i="3"/>
  <c r="H222" i="3"/>
  <c r="F1255" i="3"/>
  <c r="F1254" i="3" s="1"/>
  <c r="F1253" i="3" s="1"/>
  <c r="F1252" i="3" s="1"/>
  <c r="D53" i="2" s="1"/>
  <c r="F837" i="3"/>
  <c r="F836" i="3" s="1"/>
  <c r="F863" i="3"/>
  <c r="F862" i="3" s="1"/>
  <c r="F13" i="3"/>
  <c r="F266" i="3"/>
  <c r="F265" i="3" s="1"/>
  <c r="F264" i="3" s="1"/>
  <c r="F217" i="3"/>
  <c r="F216" i="3" s="1"/>
  <c r="F215" i="3" s="1"/>
  <c r="F1227" i="3"/>
  <c r="F542" i="3"/>
  <c r="F1090" i="3"/>
  <c r="F1089" i="3" s="1"/>
  <c r="F1088" i="3" s="1"/>
  <c r="D47" i="2" s="1"/>
  <c r="F36" i="3"/>
  <c r="F1122" i="3"/>
  <c r="F1121" i="3" s="1"/>
  <c r="F478" i="3"/>
  <c r="F477" i="3" s="1"/>
  <c r="F300" i="3"/>
  <c r="F1211" i="3"/>
  <c r="F1064" i="3"/>
  <c r="F1058" i="3" s="1"/>
  <c r="F1057" i="3" s="1"/>
  <c r="D45" i="2" s="1"/>
  <c r="F534" i="3"/>
  <c r="F529" i="3" s="1"/>
  <c r="F410" i="3"/>
  <c r="F407" i="3" s="1"/>
  <c r="F416" i="3"/>
  <c r="F413" i="3" s="1"/>
  <c r="F442" i="3"/>
  <c r="F441" i="3" s="1"/>
  <c r="F436" i="3" s="1"/>
  <c r="F420" i="3"/>
  <c r="F428" i="3"/>
  <c r="F357" i="3"/>
  <c r="F356" i="3" s="1"/>
  <c r="F355" i="3" s="1"/>
  <c r="F363" i="3"/>
  <c r="F362" i="3" s="1"/>
  <c r="F344" i="3"/>
  <c r="F343" i="3" s="1"/>
  <c r="F338" i="3" s="1"/>
  <c r="F337" i="3" s="1"/>
  <c r="D25" i="2" s="1"/>
  <c r="F322" i="3"/>
  <c r="F321" i="3" s="1"/>
  <c r="D23" i="2" s="1"/>
  <c r="F290" i="3"/>
  <c r="F286" i="3" s="1"/>
  <c r="F250" i="3"/>
  <c r="F234" i="3"/>
  <c r="F233" i="3" s="1"/>
  <c r="F197" i="3"/>
  <c r="F162" i="3"/>
  <c r="F161" i="3" s="1"/>
  <c r="F160" i="3" s="1"/>
  <c r="F159" i="3" s="1"/>
  <c r="D15" i="2" s="1"/>
  <c r="F143" i="3"/>
  <c r="F142" i="3" s="1"/>
  <c r="F111" i="3"/>
  <c r="F110" i="3" s="1"/>
  <c r="F105" i="3" s="1"/>
  <c r="F95" i="3"/>
  <c r="F69" i="3"/>
  <c r="H69" i="3" s="1"/>
  <c r="F43" i="3"/>
  <c r="G1147" i="4"/>
  <c r="G1167" i="4"/>
  <c r="G952" i="4"/>
  <c r="I413" i="3" l="1"/>
  <c r="H420" i="3"/>
  <c r="H1211" i="3"/>
  <c r="G1166" i="4"/>
  <c r="I1167" i="4"/>
  <c r="H43" i="3"/>
  <c r="H407" i="3"/>
  <c r="H410" i="3"/>
  <c r="H604" i="3"/>
  <c r="H714" i="3"/>
  <c r="H715" i="3"/>
  <c r="H1164" i="3"/>
  <c r="H1165" i="3"/>
  <c r="G81" i="5"/>
  <c r="I82" i="5"/>
  <c r="I166" i="5"/>
  <c r="G165" i="5"/>
  <c r="I165" i="5" s="1"/>
  <c r="H963" i="3"/>
  <c r="H964" i="3"/>
  <c r="H953" i="3"/>
  <c r="H952" i="3"/>
  <c r="G155" i="5"/>
  <c r="I155" i="5" s="1"/>
  <c r="I156" i="5"/>
  <c r="G269" i="5"/>
  <c r="I269" i="5" s="1"/>
  <c r="I270" i="5"/>
  <c r="G103" i="5"/>
  <c r="I103" i="5" s="1"/>
  <c r="I104" i="5"/>
  <c r="G63" i="5"/>
  <c r="I63" i="5" s="1"/>
  <c r="I64" i="5"/>
  <c r="G145" i="5"/>
  <c r="I146" i="5"/>
  <c r="G110" i="5"/>
  <c r="I110" i="5" s="1"/>
  <c r="I111" i="5"/>
  <c r="G73" i="5"/>
  <c r="I73" i="5" s="1"/>
  <c r="I74" i="5"/>
  <c r="G17" i="5"/>
  <c r="I18" i="5"/>
  <c r="H453" i="3"/>
  <c r="H461" i="3"/>
  <c r="H425" i="3"/>
  <c r="H426" i="3"/>
  <c r="H374" i="3"/>
  <c r="H341" i="3"/>
  <c r="H351" i="3"/>
  <c r="H352" i="3"/>
  <c r="H281" i="3"/>
  <c r="H244" i="3"/>
  <c r="H245" i="3"/>
  <c r="H87" i="3"/>
  <c r="H88" i="3"/>
  <c r="H121" i="3"/>
  <c r="H19" i="3"/>
  <c r="H20" i="3"/>
  <c r="H749" i="3"/>
  <c r="H750" i="3"/>
  <c r="H985" i="3"/>
  <c r="H1112" i="3"/>
  <c r="H1108" i="3"/>
  <c r="H710" i="3"/>
  <c r="H711" i="3"/>
  <c r="G951" i="4"/>
  <c r="I952" i="4"/>
  <c r="G1146" i="4"/>
  <c r="I1146" i="4" s="1"/>
  <c r="I1147" i="4"/>
  <c r="H36" i="3"/>
  <c r="H95" i="3"/>
  <c r="H143" i="3"/>
  <c r="H197" i="3"/>
  <c r="H357" i="3"/>
  <c r="H428" i="3"/>
  <c r="G179" i="5"/>
  <c r="I179" i="5" s="1"/>
  <c r="I180" i="5"/>
  <c r="H507" i="3"/>
  <c r="H508" i="3"/>
  <c r="H535" i="3"/>
  <c r="H536" i="3"/>
  <c r="H519" i="3"/>
  <c r="H496" i="3"/>
  <c r="H497" i="3"/>
  <c r="H449" i="3"/>
  <c r="H457" i="3"/>
  <c r="H433" i="3"/>
  <c r="H434" i="3"/>
  <c r="H378" i="3"/>
  <c r="H329" i="3"/>
  <c r="H241" i="3"/>
  <c r="H242" i="3"/>
  <c r="H247" i="3"/>
  <c r="H248" i="3"/>
  <c r="H116" i="3"/>
  <c r="H117" i="3"/>
  <c r="H25" i="3"/>
  <c r="H226" i="3"/>
  <c r="H227" i="3"/>
  <c r="H48" i="3"/>
  <c r="H49" i="3"/>
  <c r="H566" i="3"/>
  <c r="H542" i="3"/>
  <c r="H543" i="3"/>
  <c r="H539" i="3"/>
  <c r="H532" i="3"/>
  <c r="H527" i="3"/>
  <c r="H523" i="3"/>
  <c r="H515" i="3"/>
  <c r="H487" i="3"/>
  <c r="H488" i="3"/>
  <c r="H469" i="3"/>
  <c r="H465" i="3"/>
  <c r="H439" i="3"/>
  <c r="H413" i="3"/>
  <c r="H416" i="3"/>
  <c r="H402" i="3"/>
  <c r="H389" i="3"/>
  <c r="H390" i="3"/>
  <c r="H344" i="3"/>
  <c r="H335" i="3"/>
  <c r="H176" i="3"/>
  <c r="H177" i="3"/>
  <c r="H1245" i="3"/>
  <c r="H1246" i="3"/>
  <c r="H1227" i="3"/>
  <c r="H1160" i="3"/>
  <c r="H1161" i="3"/>
  <c r="H1156" i="3"/>
  <c r="H1157" i="3"/>
  <c r="H1153" i="3"/>
  <c r="H1149" i="3"/>
  <c r="H1134" i="3"/>
  <c r="H1133" i="3"/>
  <c r="H1124" i="3"/>
  <c r="H886" i="3"/>
  <c r="H887" i="3"/>
  <c r="H883" i="3"/>
  <c r="H877" i="3"/>
  <c r="H878" i="3"/>
  <c r="H837" i="3"/>
  <c r="H753" i="3"/>
  <c r="H757" i="3"/>
  <c r="H738" i="3"/>
  <c r="H739" i="3"/>
  <c r="H728" i="3"/>
  <c r="H718" i="3"/>
  <c r="H719" i="3"/>
  <c r="H706" i="3"/>
  <c r="H707" i="3"/>
  <c r="H702" i="3"/>
  <c r="H703" i="3"/>
  <c r="H699" i="3"/>
  <c r="H695" i="3"/>
  <c r="H683" i="3"/>
  <c r="H679" i="3"/>
  <c r="H665" i="3"/>
  <c r="H666" i="3"/>
  <c r="H655" i="3"/>
  <c r="H649" i="3"/>
  <c r="H650" i="3"/>
  <c r="H645" i="3"/>
  <c r="H646" i="3"/>
  <c r="H636" i="3"/>
  <c r="H626" i="3"/>
  <c r="H625" i="3"/>
  <c r="H621" i="3"/>
  <c r="H622" i="3"/>
  <c r="H618" i="3"/>
  <c r="H153" i="3"/>
  <c r="H154" i="3"/>
  <c r="H150" i="3"/>
  <c r="H151" i="3"/>
  <c r="H142" i="3"/>
  <c r="H1266" i="3"/>
  <c r="H1267" i="3"/>
  <c r="H1254" i="3"/>
  <c r="H1255" i="3"/>
  <c r="H1045" i="3"/>
  <c r="H1047" i="3"/>
  <c r="H968" i="3"/>
  <c r="H967" i="3"/>
  <c r="H948" i="3"/>
  <c r="H949" i="3"/>
  <c r="H939" i="3"/>
  <c r="H930" i="3"/>
  <c r="H929" i="3"/>
  <c r="H895" i="3"/>
  <c r="H801" i="3"/>
  <c r="H791" i="3"/>
  <c r="H792" i="3"/>
  <c r="H783" i="3"/>
  <c r="H782" i="3"/>
  <c r="H239" i="3"/>
  <c r="H1089" i="3"/>
  <c r="H1090" i="3"/>
  <c r="H1054" i="3"/>
  <c r="H383" i="3"/>
  <c r="H302" i="3"/>
  <c r="H287" i="3"/>
  <c r="H288" i="3"/>
  <c r="H110" i="3"/>
  <c r="H111" i="3"/>
  <c r="H108" i="3"/>
  <c r="H74" i="3"/>
  <c r="H75" i="3"/>
  <c r="H15" i="3"/>
  <c r="H171" i="3"/>
  <c r="H212" i="3"/>
  <c r="H213" i="3"/>
  <c r="H133" i="3"/>
  <c r="H134" i="3"/>
  <c r="H274" i="3"/>
  <c r="H269" i="3"/>
  <c r="H261" i="3"/>
  <c r="H1170" i="3"/>
  <c r="H733" i="3"/>
  <c r="H660" i="3"/>
  <c r="H1272" i="3"/>
  <c r="H1271" i="3"/>
  <c r="H993" i="3"/>
  <c r="H806" i="3"/>
  <c r="H253" i="3"/>
  <c r="H257" i="3"/>
  <c r="H1078" i="3"/>
  <c r="H1061" i="3"/>
  <c r="H1042" i="3"/>
  <c r="H219" i="3"/>
  <c r="H831" i="3"/>
  <c r="H832" i="3"/>
  <c r="G117" i="5"/>
  <c r="I117" i="5" s="1"/>
  <c r="I118" i="5"/>
  <c r="G96" i="5"/>
  <c r="I96" i="5" s="1"/>
  <c r="I97" i="5"/>
  <c r="G89" i="5"/>
  <c r="I90" i="5"/>
  <c r="H1103" i="3"/>
  <c r="H610" i="3"/>
  <c r="H479" i="3"/>
  <c r="H473" i="3"/>
  <c r="H365" i="3"/>
  <c r="H368" i="3"/>
  <c r="H369" i="3"/>
  <c r="H324" i="3"/>
  <c r="H290" i="3"/>
  <c r="H229" i="3"/>
  <c r="H230" i="3"/>
  <c r="F835" i="3"/>
  <c r="D39" i="2" s="1"/>
  <c r="F35" i="3"/>
  <c r="F34" i="3" s="1"/>
  <c r="F33" i="3" s="1"/>
  <c r="D12" i="2" s="1"/>
  <c r="F1210" i="3"/>
  <c r="D51" i="2" s="1"/>
  <c r="D49" i="2"/>
  <c r="F1050" i="3"/>
  <c r="F419" i="3"/>
  <c r="F406" i="3"/>
  <c r="F354" i="3"/>
  <c r="F285" i="3"/>
  <c r="G152" i="34"/>
  <c r="G147" i="34"/>
  <c r="G720" i="4"/>
  <c r="F405" i="3" l="1"/>
  <c r="F404" i="3" s="1"/>
  <c r="H406" i="3"/>
  <c r="H441" i="3"/>
  <c r="H442" i="3"/>
  <c r="H980" i="3"/>
  <c r="H981" i="3"/>
  <c r="H419" i="3"/>
  <c r="H286" i="3"/>
  <c r="H24" i="3"/>
  <c r="H327" i="3"/>
  <c r="H328" i="3"/>
  <c r="H376" i="3"/>
  <c r="H377" i="3"/>
  <c r="H455" i="3"/>
  <c r="H456" i="3"/>
  <c r="H447" i="3"/>
  <c r="H448" i="3"/>
  <c r="H517" i="3"/>
  <c r="H518" i="3"/>
  <c r="H162" i="3"/>
  <c r="G950" i="4"/>
  <c r="I951" i="4"/>
  <c r="H119" i="3"/>
  <c r="H120" i="3"/>
  <c r="H280" i="3"/>
  <c r="H339" i="3"/>
  <c r="H340" i="3"/>
  <c r="H372" i="3"/>
  <c r="H373" i="3"/>
  <c r="H459" i="3"/>
  <c r="H460" i="3"/>
  <c r="H451" i="3"/>
  <c r="H452" i="3"/>
  <c r="G9" i="5"/>
  <c r="I9" i="5" s="1"/>
  <c r="I17" i="5"/>
  <c r="I145" i="5"/>
  <c r="G144" i="5"/>
  <c r="I144" i="5" s="1"/>
  <c r="G80" i="5"/>
  <c r="I80" i="5" s="1"/>
  <c r="I81" i="5"/>
  <c r="H602" i="3"/>
  <c r="H603" i="3"/>
  <c r="G1165" i="4"/>
  <c r="I1166" i="4"/>
  <c r="E51" i="2"/>
  <c r="F51" i="2" s="1"/>
  <c r="H35" i="3"/>
  <c r="H538" i="3"/>
  <c r="H534" i="3"/>
  <c r="H531" i="3"/>
  <c r="H525" i="3"/>
  <c r="H526" i="3"/>
  <c r="H521" i="3"/>
  <c r="H522" i="3"/>
  <c r="H513" i="3"/>
  <c r="H514" i="3"/>
  <c r="H467" i="3"/>
  <c r="H468" i="3"/>
  <c r="H463" i="3"/>
  <c r="H464" i="3"/>
  <c r="H438" i="3"/>
  <c r="H400" i="3"/>
  <c r="H401" i="3"/>
  <c r="H343" i="3"/>
  <c r="H334" i="3"/>
  <c r="H1123" i="3"/>
  <c r="H1122" i="3"/>
  <c r="H882" i="3"/>
  <c r="H881" i="3"/>
  <c r="H862" i="3"/>
  <c r="H863" i="3"/>
  <c r="H836" i="3"/>
  <c r="H726" i="3"/>
  <c r="H727" i="3"/>
  <c r="H653" i="3"/>
  <c r="H654" i="3"/>
  <c r="H617" i="3"/>
  <c r="H799" i="3"/>
  <c r="H800" i="3"/>
  <c r="H238" i="3"/>
  <c r="H1053" i="3"/>
  <c r="H382" i="3"/>
  <c r="H355" i="3"/>
  <c r="H356" i="3"/>
  <c r="H301" i="3"/>
  <c r="H300" i="3"/>
  <c r="H107" i="3"/>
  <c r="H14" i="3"/>
  <c r="H170" i="3"/>
  <c r="H273" i="3"/>
  <c r="H266" i="3"/>
  <c r="H259" i="3"/>
  <c r="H260" i="3"/>
  <c r="H1169" i="3"/>
  <c r="H731" i="3"/>
  <c r="H732" i="3"/>
  <c r="H659" i="3"/>
  <c r="H1270" i="3"/>
  <c r="H991" i="3"/>
  <c r="H992" i="3"/>
  <c r="H804" i="3"/>
  <c r="H805" i="3"/>
  <c r="H251" i="3"/>
  <c r="H252" i="3"/>
  <c r="H256" i="3"/>
  <c r="H1077" i="3"/>
  <c r="H1064" i="3"/>
  <c r="H1060" i="3"/>
  <c r="H1041" i="3"/>
  <c r="H218" i="3"/>
  <c r="I89" i="5"/>
  <c r="G88" i="5"/>
  <c r="I88" i="5" s="1"/>
  <c r="H1210" i="3"/>
  <c r="H1102" i="3"/>
  <c r="H609" i="3"/>
  <c r="H477" i="3"/>
  <c r="H478" i="3"/>
  <c r="H471" i="3"/>
  <c r="H472" i="3"/>
  <c r="H364" i="3"/>
  <c r="H323" i="3"/>
  <c r="G719" i="4"/>
  <c r="I720" i="4"/>
  <c r="F1120" i="3"/>
  <c r="D48" i="2"/>
  <c r="G148" i="34"/>
  <c r="G146" i="34"/>
  <c r="G145" i="34" s="1"/>
  <c r="G140" i="34" s="1"/>
  <c r="I152" i="34"/>
  <c r="G153" i="34"/>
  <c r="G151" i="34"/>
  <c r="G150" i="34" s="1"/>
  <c r="G149" i="34" s="1"/>
  <c r="I147" i="34"/>
  <c r="F320" i="3"/>
  <c r="D26" i="2"/>
  <c r="F748" i="3"/>
  <c r="F747" i="3" s="1"/>
  <c r="F746" i="3" s="1"/>
  <c r="F745" i="3" s="1"/>
  <c r="F737" i="3" s="1"/>
  <c r="G225" i="5"/>
  <c r="F678" i="3"/>
  <c r="F677" i="3" s="1"/>
  <c r="F676" i="3" s="1"/>
  <c r="F672" i="3" s="1"/>
  <c r="F664" i="3" s="1"/>
  <c r="G220" i="5"/>
  <c r="D29" i="2"/>
  <c r="G933" i="4"/>
  <c r="G937" i="4"/>
  <c r="I937" i="4" s="1"/>
  <c r="H285" i="3" l="1"/>
  <c r="I220" i="5"/>
  <c r="G1164" i="4"/>
  <c r="I1164" i="4" s="1"/>
  <c r="I1165" i="4"/>
  <c r="H279" i="3"/>
  <c r="G949" i="4"/>
  <c r="I949" i="4" s="1"/>
  <c r="I950" i="4"/>
  <c r="H161" i="3"/>
  <c r="H22" i="3"/>
  <c r="H23" i="3"/>
  <c r="G932" i="4"/>
  <c r="I933" i="4"/>
  <c r="I225" i="5"/>
  <c r="H338" i="3"/>
  <c r="H34" i="3"/>
  <c r="H530" i="3"/>
  <c r="H529" i="3"/>
  <c r="H437" i="3"/>
  <c r="H436" i="3"/>
  <c r="H405" i="3"/>
  <c r="H333" i="3"/>
  <c r="E39" i="2"/>
  <c r="F39" i="2" s="1"/>
  <c r="H748" i="3"/>
  <c r="H678" i="3"/>
  <c r="H234" i="3"/>
  <c r="H233" i="3"/>
  <c r="H1052" i="3"/>
  <c r="H380" i="3"/>
  <c r="H381" i="3"/>
  <c r="H106" i="3"/>
  <c r="H105" i="3"/>
  <c r="H13" i="3"/>
  <c r="H169" i="3"/>
  <c r="H271" i="3"/>
  <c r="H272" i="3"/>
  <c r="H264" i="3"/>
  <c r="H265" i="3"/>
  <c r="H1168" i="3"/>
  <c r="H658" i="3"/>
  <c r="H1253" i="3"/>
  <c r="H255" i="3"/>
  <c r="H250" i="3"/>
  <c r="H1059" i="3"/>
  <c r="H1039" i="3"/>
  <c r="H1040" i="3"/>
  <c r="H217" i="3"/>
  <c r="H1101" i="3"/>
  <c r="H608" i="3"/>
  <c r="H607" i="3"/>
  <c r="E33" i="2"/>
  <c r="H363" i="3"/>
  <c r="H322" i="3"/>
  <c r="G718" i="4"/>
  <c r="I719" i="4"/>
  <c r="G936" i="4"/>
  <c r="F663" i="3"/>
  <c r="D36" i="2" s="1"/>
  <c r="I153" i="34"/>
  <c r="G134" i="34"/>
  <c r="G133" i="34" s="1"/>
  <c r="I148" i="34"/>
  <c r="G221" i="5"/>
  <c r="G219" i="5"/>
  <c r="G218" i="5" s="1"/>
  <c r="G213" i="5" s="1"/>
  <c r="G226" i="5"/>
  <c r="G224" i="5"/>
  <c r="G223" i="5" s="1"/>
  <c r="G222" i="5" s="1"/>
  <c r="G429" i="4"/>
  <c r="I429" i="4" s="1"/>
  <c r="G333" i="34"/>
  <c r="I221" i="5" l="1"/>
  <c r="G935" i="4"/>
  <c r="I936" i="4"/>
  <c r="G931" i="4"/>
  <c r="I931" i="4" s="1"/>
  <c r="I932" i="4"/>
  <c r="H160" i="3"/>
  <c r="H278" i="3"/>
  <c r="I226" i="5"/>
  <c r="E32" i="2"/>
  <c r="F33" i="2"/>
  <c r="H835" i="3"/>
  <c r="E12" i="2"/>
  <c r="F12" i="2" s="1"/>
  <c r="H33" i="3"/>
  <c r="E25" i="2"/>
  <c r="F25" i="2" s="1"/>
  <c r="H337" i="3"/>
  <c r="H332" i="3"/>
  <c r="I224" i="5"/>
  <c r="I151" i="34"/>
  <c r="H747" i="3"/>
  <c r="I146" i="34"/>
  <c r="I219" i="5"/>
  <c r="H677" i="3"/>
  <c r="E44" i="2"/>
  <c r="F44" i="2" s="1"/>
  <c r="H1051" i="3"/>
  <c r="H168" i="3"/>
  <c r="H1121" i="3"/>
  <c r="E49" i="2"/>
  <c r="H1120" i="3"/>
  <c r="E35" i="2"/>
  <c r="E53" i="2"/>
  <c r="H1252" i="3"/>
  <c r="H1058" i="3"/>
  <c r="H215" i="3"/>
  <c r="H216" i="3"/>
  <c r="E47" i="2"/>
  <c r="F47" i="2" s="1"/>
  <c r="H1088" i="3"/>
  <c r="H362" i="3"/>
  <c r="E23" i="2"/>
  <c r="F23" i="2" s="1"/>
  <c r="H321" i="3"/>
  <c r="G717" i="4"/>
  <c r="I717" i="4" s="1"/>
  <c r="I718" i="4"/>
  <c r="I333" i="34"/>
  <c r="G334" i="34"/>
  <c r="G332" i="34"/>
  <c r="G331" i="34" s="1"/>
  <c r="G330" i="34" s="1"/>
  <c r="G329" i="34" s="1"/>
  <c r="G328" i="34" s="1"/>
  <c r="G289" i="34" s="1"/>
  <c r="G207" i="5"/>
  <c r="G206" i="5" s="1"/>
  <c r="F798" i="3"/>
  <c r="F797" i="3" s="1"/>
  <c r="F796" i="3" s="1"/>
  <c r="F795" i="3" s="1"/>
  <c r="F764" i="3" s="1"/>
  <c r="F736" i="3" s="1"/>
  <c r="D37" i="2" s="1"/>
  <c r="G652" i="5"/>
  <c r="G339" i="4"/>
  <c r="H320" i="3" l="1"/>
  <c r="I652" i="5"/>
  <c r="H276" i="3"/>
  <c r="H277" i="3"/>
  <c r="E15" i="2"/>
  <c r="F15" i="2" s="1"/>
  <c r="H159" i="3"/>
  <c r="G930" i="4"/>
  <c r="I930" i="4" s="1"/>
  <c r="I935" i="4"/>
  <c r="E29" i="2"/>
  <c r="F29" i="2" s="1"/>
  <c r="H404" i="3"/>
  <c r="E24" i="2"/>
  <c r="F24" i="2" s="1"/>
  <c r="H331" i="3"/>
  <c r="I149" i="34"/>
  <c r="I150" i="34"/>
  <c r="H746" i="3"/>
  <c r="I222" i="5"/>
  <c r="I223" i="5"/>
  <c r="I218" i="5"/>
  <c r="H676" i="3"/>
  <c r="I145" i="34"/>
  <c r="E28" i="2"/>
  <c r="H798" i="3"/>
  <c r="E11" i="2"/>
  <c r="E16" i="2"/>
  <c r="F16" i="2" s="1"/>
  <c r="H167" i="3"/>
  <c r="F49" i="2"/>
  <c r="E48" i="2"/>
  <c r="F48" i="2" s="1"/>
  <c r="E52" i="2"/>
  <c r="F53" i="2"/>
  <c r="E45" i="2"/>
  <c r="F45" i="2" s="1"/>
  <c r="H1057" i="3"/>
  <c r="H354" i="3"/>
  <c r="E26" i="2"/>
  <c r="G338" i="4"/>
  <c r="I339" i="4"/>
  <c r="I334" i="34"/>
  <c r="G653" i="5"/>
  <c r="G651" i="5"/>
  <c r="G650" i="5" s="1"/>
  <c r="G649" i="5" s="1"/>
  <c r="G648" i="5" s="1"/>
  <c r="G647" i="5" s="1"/>
  <c r="G485" i="4"/>
  <c r="I485" i="4" s="1"/>
  <c r="G483" i="4"/>
  <c r="I483" i="4" s="1"/>
  <c r="G480" i="4"/>
  <c r="G479" i="4" l="1"/>
  <c r="I479" i="4" s="1"/>
  <c r="I480" i="4"/>
  <c r="I653" i="5"/>
  <c r="H737" i="3"/>
  <c r="H745" i="3"/>
  <c r="H672" i="3"/>
  <c r="I140" i="34"/>
  <c r="I213" i="5"/>
  <c r="I332" i="34"/>
  <c r="I651" i="5"/>
  <c r="H797" i="3"/>
  <c r="E22" i="2"/>
  <c r="F26" i="2"/>
  <c r="G337" i="4"/>
  <c r="I338" i="4"/>
  <c r="G482" i="4"/>
  <c r="F92" i="3"/>
  <c r="F91" i="3" s="1"/>
  <c r="F90" i="3" s="1"/>
  <c r="G83" i="4"/>
  <c r="I83" i="4" s="1"/>
  <c r="G478" i="4" l="1"/>
  <c r="I478" i="4" s="1"/>
  <c r="I482" i="4"/>
  <c r="I134" i="34"/>
  <c r="I207" i="5"/>
  <c r="H664" i="3"/>
  <c r="I650" i="5"/>
  <c r="H796" i="3"/>
  <c r="I331" i="34"/>
  <c r="G336" i="4"/>
  <c r="I336" i="4" s="1"/>
  <c r="I337" i="4"/>
  <c r="F102" i="3"/>
  <c r="G40" i="34"/>
  <c r="I40" i="34" s="1"/>
  <c r="H1083" i="3" l="1"/>
  <c r="H1084" i="3"/>
  <c r="F101" i="3"/>
  <c r="H102" i="3"/>
  <c r="I206" i="5"/>
  <c r="E36" i="2"/>
  <c r="F36" i="2" s="1"/>
  <c r="H663" i="3"/>
  <c r="I133" i="34"/>
  <c r="H795" i="3"/>
  <c r="I330" i="34"/>
  <c r="I649" i="5"/>
  <c r="H92" i="3"/>
  <c r="G39" i="34"/>
  <c r="G41" i="34"/>
  <c r="I41" i="34" s="1"/>
  <c r="G38" i="34" l="1"/>
  <c r="I39" i="34"/>
  <c r="F100" i="3"/>
  <c r="H101" i="3"/>
  <c r="H1082" i="3"/>
  <c r="I329" i="34"/>
  <c r="I647" i="5"/>
  <c r="I648" i="5"/>
  <c r="H764" i="3"/>
  <c r="H91" i="3"/>
  <c r="G37" i="34" l="1"/>
  <c r="I38" i="34"/>
  <c r="F86" i="3"/>
  <c r="H100" i="3"/>
  <c r="H1081" i="3"/>
  <c r="H1050" i="3"/>
  <c r="E46" i="2"/>
  <c r="E37" i="2"/>
  <c r="F37" i="2" s="1"/>
  <c r="H736" i="3"/>
  <c r="I289" i="34"/>
  <c r="I328" i="34"/>
  <c r="H90" i="3"/>
  <c r="E30" i="2"/>
  <c r="G36" i="34" l="1"/>
  <c r="I37" i="34"/>
  <c r="E43" i="2"/>
  <c r="F46" i="2"/>
  <c r="E42" i="2"/>
  <c r="H86" i="3"/>
  <c r="E13" i="2"/>
  <c r="F37" i="25"/>
  <c r="I36" i="34" l="1"/>
  <c r="G10" i="34"/>
  <c r="E17" i="2"/>
  <c r="E14" i="2"/>
  <c r="E18" i="25"/>
  <c r="V14" i="25"/>
  <c r="T14" i="25" s="1"/>
  <c r="Q14" i="25" s="1"/>
  <c r="V32" i="25"/>
  <c r="T32" i="25" s="1"/>
  <c r="Q32" i="25" s="1"/>
  <c r="V24" i="25"/>
  <c r="T24" i="25" s="1"/>
  <c r="Q24" i="25" s="1"/>
  <c r="V23" i="25"/>
  <c r="T23" i="25" s="1"/>
  <c r="Q23" i="25" s="1"/>
  <c r="V22" i="25"/>
  <c r="T22" i="25" s="1"/>
  <c r="Q22" i="25" s="1"/>
  <c r="V21" i="25"/>
  <c r="T21" i="25" s="1"/>
  <c r="Q21" i="25" s="1"/>
  <c r="V30" i="25"/>
  <c r="T30" i="25" s="1"/>
  <c r="Q30" i="25" s="1"/>
  <c r="V20" i="25"/>
  <c r="T20" i="25" s="1"/>
  <c r="Q20" i="25" s="1"/>
  <c r="T27" i="25"/>
  <c r="Q27" i="25" s="1"/>
  <c r="T16" i="25"/>
  <c r="Q16" i="25" s="1"/>
  <c r="V13" i="25"/>
  <c r="T13" i="25" s="1"/>
  <c r="Q13" i="25" s="1"/>
  <c r="V15" i="25"/>
  <c r="T15" i="25" s="1"/>
  <c r="Q15" i="25" s="1"/>
  <c r="V29" i="25"/>
  <c r="T29" i="25" s="1"/>
  <c r="Q29" i="25" s="1"/>
  <c r="V17" i="25"/>
  <c r="T17" i="25" s="1"/>
  <c r="Q17" i="25" s="1"/>
  <c r="V34" i="25"/>
  <c r="T34" i="25" s="1"/>
  <c r="Q34" i="25" s="1"/>
  <c r="T33" i="25"/>
  <c r="Q33" i="25" s="1"/>
  <c r="V12" i="25"/>
  <c r="T12" i="25" s="1"/>
  <c r="Q12" i="25" s="1"/>
  <c r="V19" i="25"/>
  <c r="T19" i="25" s="1"/>
  <c r="Q19" i="25" s="1"/>
  <c r="V26" i="25"/>
  <c r="T26" i="25" s="1"/>
  <c r="Q26" i="25" s="1"/>
  <c r="V31" i="25"/>
  <c r="T31" i="25" s="1"/>
  <c r="Q31" i="25" s="1"/>
  <c r="V28" i="25"/>
  <c r="V11" i="25"/>
  <c r="T11" i="25" s="1"/>
  <c r="Q11" i="25" s="1"/>
  <c r="V10" i="25"/>
  <c r="T10" i="25" s="1"/>
  <c r="Q10" i="25" s="1"/>
  <c r="Q9" i="25"/>
  <c r="V7" i="25"/>
  <c r="V6" i="25"/>
  <c r="V5" i="25"/>
  <c r="J14" i="25"/>
  <c r="H14" i="25" s="1"/>
  <c r="E14" i="25" s="1"/>
  <c r="J32" i="25"/>
  <c r="H32" i="25" s="1"/>
  <c r="E32" i="25" s="1"/>
  <c r="J24" i="25"/>
  <c r="E24" i="25" s="1"/>
  <c r="J23" i="25"/>
  <c r="H23" i="25" s="1"/>
  <c r="E23" i="25" s="1"/>
  <c r="J22" i="25"/>
  <c r="E22" i="25" s="1"/>
  <c r="J21" i="25"/>
  <c r="H21" i="25" s="1"/>
  <c r="E21" i="25" s="1"/>
  <c r="J30" i="25"/>
  <c r="H30" i="25" s="1"/>
  <c r="E30" i="25" s="1"/>
  <c r="J20" i="25"/>
  <c r="H20" i="25" s="1"/>
  <c r="E20" i="25" s="1"/>
  <c r="H27" i="25"/>
  <c r="E27" i="25" s="1"/>
  <c r="H16" i="25"/>
  <c r="E16" i="25" s="1"/>
  <c r="J13" i="25"/>
  <c r="J15" i="25"/>
  <c r="H15" i="25" s="1"/>
  <c r="E15" i="25" s="1"/>
  <c r="J29" i="25"/>
  <c r="H29" i="25" s="1"/>
  <c r="E29" i="25" s="1"/>
  <c r="H17" i="25"/>
  <c r="E17" i="25" s="1"/>
  <c r="J34" i="25"/>
  <c r="H34" i="25" s="1"/>
  <c r="E34" i="25" s="1"/>
  <c r="E33" i="25"/>
  <c r="J12" i="25"/>
  <c r="H12" i="25" s="1"/>
  <c r="E12" i="25" s="1"/>
  <c r="J19" i="25"/>
  <c r="H19" i="25" s="1"/>
  <c r="E19" i="25" s="1"/>
  <c r="J26" i="25"/>
  <c r="H26" i="25" s="1"/>
  <c r="E26" i="25" s="1"/>
  <c r="J31" i="25"/>
  <c r="H31" i="25" s="1"/>
  <c r="E31" i="25" s="1"/>
  <c r="E28" i="25"/>
  <c r="J11" i="25"/>
  <c r="H11" i="25" s="1"/>
  <c r="E11" i="25" s="1"/>
  <c r="J10" i="25"/>
  <c r="H10" i="25" s="1"/>
  <c r="E10" i="25" s="1"/>
  <c r="E9" i="25"/>
  <c r="P14" i="25"/>
  <c r="N14" i="25" s="1"/>
  <c r="P32" i="25"/>
  <c r="N32" i="25" s="1"/>
  <c r="P24" i="25"/>
  <c r="N24" i="25" s="1"/>
  <c r="P23" i="25"/>
  <c r="N23" i="25" s="1"/>
  <c r="P22" i="25"/>
  <c r="N22" i="25" s="1"/>
  <c r="P21" i="25"/>
  <c r="N21" i="25" s="1"/>
  <c r="P30" i="25"/>
  <c r="N30" i="25" s="1"/>
  <c r="P20" i="25"/>
  <c r="N20" i="25" s="1"/>
  <c r="N27" i="25"/>
  <c r="N16" i="25"/>
  <c r="P13" i="25"/>
  <c r="N13" i="25" s="1"/>
  <c r="P15" i="25"/>
  <c r="N15" i="25" s="1"/>
  <c r="P29" i="25"/>
  <c r="N29" i="25" s="1"/>
  <c r="P17" i="25"/>
  <c r="N17" i="25" s="1"/>
  <c r="P34" i="25"/>
  <c r="N34" i="25" s="1"/>
  <c r="N33" i="25"/>
  <c r="P12" i="25"/>
  <c r="N12" i="25" s="1"/>
  <c r="P19" i="25"/>
  <c r="N19" i="25" s="1"/>
  <c r="P26" i="25"/>
  <c r="N26" i="25" s="1"/>
  <c r="P31" i="25"/>
  <c r="P28" i="25"/>
  <c r="N28" i="25" s="1"/>
  <c r="P11" i="25"/>
  <c r="P10" i="25"/>
  <c r="P7" i="25"/>
  <c r="P6" i="25"/>
  <c r="P5" i="25"/>
  <c r="N5" i="25" s="1"/>
  <c r="J7" i="25"/>
  <c r="H7" i="25" s="1"/>
  <c r="E41" i="2" l="1"/>
  <c r="G9" i="34"/>
  <c r="I9" i="34" s="1"/>
  <c r="I10" i="34"/>
  <c r="E21" i="2"/>
  <c r="E20" i="2" s="1"/>
  <c r="E31" i="2"/>
  <c r="E10" i="2"/>
  <c r="H375" i="34"/>
  <c r="D18" i="7"/>
  <c r="T28" i="25"/>
  <c r="Q28" i="25" s="1"/>
  <c r="H13" i="25"/>
  <c r="E13" i="25" s="1"/>
  <c r="E55" i="2"/>
  <c r="M80" i="1"/>
  <c r="G476" i="4"/>
  <c r="G1317" i="4"/>
  <c r="G42" i="4"/>
  <c r="G1107" i="4"/>
  <c r="F1011" i="3"/>
  <c r="G1071" i="4"/>
  <c r="G159" i="4"/>
  <c r="I159" i="4" s="1"/>
  <c r="G1377" i="4"/>
  <c r="G291" i="4"/>
  <c r="G504" i="4"/>
  <c r="G466" i="4"/>
  <c r="G463" i="4"/>
  <c r="I463" i="4" s="1"/>
  <c r="G414" i="4"/>
  <c r="I414" i="4" s="1"/>
  <c r="G419" i="4"/>
  <c r="G37" i="25"/>
  <c r="G571" i="4"/>
  <c r="G1234" i="4"/>
  <c r="G1304" i="4"/>
  <c r="G1210" i="4"/>
  <c r="I1210" i="4" s="1"/>
  <c r="G1057" i="4"/>
  <c r="I1057" i="4" s="1"/>
  <c r="G516" i="4"/>
  <c r="G517" i="4"/>
  <c r="I517" i="4" s="1"/>
  <c r="G647" i="4"/>
  <c r="I647" i="4" s="1"/>
  <c r="G1078" i="4"/>
  <c r="I1078" i="4" s="1"/>
  <c r="G1076" i="4"/>
  <c r="I1076" i="4" s="1"/>
  <c r="G1074" i="4"/>
  <c r="I1074" i="4" s="1"/>
  <c r="G921" i="4"/>
  <c r="I921" i="4" s="1"/>
  <c r="G919" i="4"/>
  <c r="I919" i="4" s="1"/>
  <c r="G914" i="4"/>
  <c r="G210" i="4"/>
  <c r="I210" i="4" s="1"/>
  <c r="G208" i="4"/>
  <c r="I208" i="4" s="1"/>
  <c r="G206" i="4"/>
  <c r="I206" i="4" s="1"/>
  <c r="G53" i="4"/>
  <c r="I53" i="4" s="1"/>
  <c r="G1181" i="4"/>
  <c r="I1181" i="4" s="1"/>
  <c r="G595" i="4"/>
  <c r="G1288" i="4"/>
  <c r="E7" i="25"/>
  <c r="G184" i="4"/>
  <c r="I184" i="4" s="1"/>
  <c r="V48" i="25"/>
  <c r="T48" i="25" s="1"/>
  <c r="Q48" i="25" s="1"/>
  <c r="P48" i="25"/>
  <c r="N48" i="25" s="1"/>
  <c r="K48" i="25" s="1"/>
  <c r="J48" i="25"/>
  <c r="H48" i="25" s="1"/>
  <c r="E48" i="25" s="1"/>
  <c r="V47" i="25"/>
  <c r="T47" i="25" s="1"/>
  <c r="Q47" i="25" s="1"/>
  <c r="P47" i="25"/>
  <c r="N47" i="25" s="1"/>
  <c r="K47" i="25" s="1"/>
  <c r="J47" i="25"/>
  <c r="H47" i="25" s="1"/>
  <c r="E47" i="25" s="1"/>
  <c r="V46" i="25"/>
  <c r="T46" i="25" s="1"/>
  <c r="Q46" i="25" s="1"/>
  <c r="P46" i="25"/>
  <c r="N46" i="25" s="1"/>
  <c r="K46" i="25" s="1"/>
  <c r="J46" i="25"/>
  <c r="H46" i="25" s="1"/>
  <c r="E46" i="25" s="1"/>
  <c r="V45" i="25"/>
  <c r="T45" i="25" s="1"/>
  <c r="Q45" i="25" s="1"/>
  <c r="P45" i="25"/>
  <c r="N45" i="25" s="1"/>
  <c r="K45" i="25" s="1"/>
  <c r="J45" i="25"/>
  <c r="H45" i="25" s="1"/>
  <c r="E45" i="25" s="1"/>
  <c r="V44" i="25"/>
  <c r="T44" i="25" s="1"/>
  <c r="Q44" i="25" s="1"/>
  <c r="P44" i="25"/>
  <c r="N44" i="25" s="1"/>
  <c r="K44" i="25" s="1"/>
  <c r="J44" i="25"/>
  <c r="H44" i="25" s="1"/>
  <c r="E44" i="25" s="1"/>
  <c r="V43" i="25"/>
  <c r="T43" i="25" s="1"/>
  <c r="Q43" i="25" s="1"/>
  <c r="P43" i="25"/>
  <c r="J43" i="25"/>
  <c r="H43" i="25" s="1"/>
  <c r="E43" i="25" s="1"/>
  <c r="E6" i="25"/>
  <c r="K26" i="25"/>
  <c r="K17" i="25"/>
  <c r="K12" i="25"/>
  <c r="G525" i="4"/>
  <c r="G536" i="4"/>
  <c r="G456" i="4"/>
  <c r="G460" i="4"/>
  <c r="G436" i="4"/>
  <c r="G1003" i="4"/>
  <c r="I1003" i="4" s="1"/>
  <c r="G895" i="4"/>
  <c r="I895" i="4" s="1"/>
  <c r="G897" i="4"/>
  <c r="I897" i="4" s="1"/>
  <c r="G893" i="4"/>
  <c r="I893" i="4" s="1"/>
  <c r="K16" i="25"/>
  <c r="S37" i="25"/>
  <c r="T7" i="25"/>
  <c r="Q7" i="25" s="1"/>
  <c r="T6" i="25"/>
  <c r="Q6" i="25" s="1"/>
  <c r="K9" i="25"/>
  <c r="K34" i="25"/>
  <c r="K33" i="25"/>
  <c r="K19" i="25"/>
  <c r="N31" i="25"/>
  <c r="K31" i="25" s="1"/>
  <c r="N7" i="25"/>
  <c r="K7" i="25" s="1"/>
  <c r="N6" i="25"/>
  <c r="K6" i="25" s="1"/>
  <c r="M37" i="25"/>
  <c r="K27" i="25"/>
  <c r="K13" i="25"/>
  <c r="K15" i="25"/>
  <c r="K29" i="25"/>
  <c r="R37" i="25"/>
  <c r="T5" i="25"/>
  <c r="Q5" i="25" s="1"/>
  <c r="N10" i="25"/>
  <c r="K10" i="25" s="1"/>
  <c r="L37" i="25"/>
  <c r="K28" i="25"/>
  <c r="G278" i="4"/>
  <c r="I278" i="4" s="1"/>
  <c r="G508" i="4"/>
  <c r="G653" i="4"/>
  <c r="G114" i="4"/>
  <c r="I114" i="4" s="1"/>
  <c r="G112" i="4"/>
  <c r="I112" i="4" s="1"/>
  <c r="G785" i="4"/>
  <c r="G496" i="4"/>
  <c r="G511" i="4"/>
  <c r="G1007" i="4"/>
  <c r="G311" i="4"/>
  <c r="I311" i="4" s="1"/>
  <c r="G312" i="4"/>
  <c r="I312" i="4" s="1"/>
  <c r="G1340" i="4"/>
  <c r="G1333" i="4"/>
  <c r="G828" i="4"/>
  <c r="G645" i="4"/>
  <c r="I645" i="4" s="1"/>
  <c r="G643" i="4"/>
  <c r="I643" i="4" s="1"/>
  <c r="G563" i="4"/>
  <c r="G163" i="4"/>
  <c r="G99" i="4"/>
  <c r="G19" i="4"/>
  <c r="G650" i="4"/>
  <c r="I650" i="4" s="1"/>
  <c r="G155" i="4"/>
  <c r="I155" i="4" s="1"/>
  <c r="G984" i="4"/>
  <c r="I984" i="4" s="1"/>
  <c r="G985" i="4"/>
  <c r="I985" i="4" s="1"/>
  <c r="G1359" i="4"/>
  <c r="I1359" i="4" s="1"/>
  <c r="G1301" i="4"/>
  <c r="G1284" i="4"/>
  <c r="G1355" i="4"/>
  <c r="G1351" i="4"/>
  <c r="G501" i="4"/>
  <c r="I501" i="4" s="1"/>
  <c r="G229" i="4"/>
  <c r="I229" i="4" s="1"/>
  <c r="F506" i="3"/>
  <c r="G1297" i="4"/>
  <c r="G307" i="4"/>
  <c r="G600" i="4"/>
  <c r="I600" i="4" s="1"/>
  <c r="G16" i="6"/>
  <c r="G824" i="4"/>
  <c r="G587" i="4"/>
  <c r="G585" i="4"/>
  <c r="I585" i="4" s="1"/>
  <c r="G401" i="4"/>
  <c r="G399" i="4"/>
  <c r="I399" i="4" s="1"/>
  <c r="G36" i="4"/>
  <c r="G66" i="4"/>
  <c r="G782" i="4"/>
  <c r="G816" i="4"/>
  <c r="G1402" i="4"/>
  <c r="I1402" i="4" s="1"/>
  <c r="G1400" i="4"/>
  <c r="I1400" i="4" s="1"/>
  <c r="G50" i="4"/>
  <c r="I50" i="4" s="1"/>
  <c r="G55" i="4"/>
  <c r="G128" i="4"/>
  <c r="G812" i="4"/>
  <c r="G605" i="4"/>
  <c r="G1175" i="4"/>
  <c r="I1175" i="4" s="1"/>
  <c r="G1140" i="4"/>
  <c r="I1140" i="4" s="1"/>
  <c r="G77" i="4"/>
  <c r="G820" i="4"/>
  <c r="G759" i="4"/>
  <c r="G635" i="4"/>
  <c r="G623" i="4"/>
  <c r="I623" i="4" s="1"/>
  <c r="G619" i="4"/>
  <c r="I619" i="4" s="1"/>
  <c r="G621" i="4"/>
  <c r="I621" i="4" s="1"/>
  <c r="G147" i="4"/>
  <c r="I147" i="4" s="1"/>
  <c r="G149" i="4"/>
  <c r="I149" i="4" s="1"/>
  <c r="G1239" i="4"/>
  <c r="G690" i="4"/>
  <c r="I690" i="4" s="1"/>
  <c r="G359" i="4"/>
  <c r="G1364" i="4"/>
  <c r="G947" i="4"/>
  <c r="G41" i="6"/>
  <c r="G608" i="4"/>
  <c r="I608" i="4" s="1"/>
  <c r="G29" i="6"/>
  <c r="G22" i="6"/>
  <c r="G392" i="4"/>
  <c r="G1245" i="4"/>
  <c r="G1280" i="4"/>
  <c r="G1199" i="4"/>
  <c r="G1154" i="4"/>
  <c r="I1154" i="4" s="1"/>
  <c r="G257" i="4"/>
  <c r="G132" i="4"/>
  <c r="G123" i="4"/>
  <c r="I123" i="4" s="1"/>
  <c r="G125" i="4"/>
  <c r="I125" i="4" s="1"/>
  <c r="G119" i="4"/>
  <c r="G416" i="4"/>
  <c r="G45" i="6"/>
  <c r="G1412" i="4"/>
  <c r="G1409" i="4"/>
  <c r="I1409" i="4" s="1"/>
  <c r="G1392" i="4"/>
  <c r="G1336" i="4"/>
  <c r="I1336" i="4" s="1"/>
  <c r="G1357" i="4"/>
  <c r="I1357" i="4" s="1"/>
  <c r="G1322" i="4"/>
  <c r="G1312" i="4"/>
  <c r="I1312" i="4" s="1"/>
  <c r="G1310" i="4"/>
  <c r="I1310" i="4" s="1"/>
  <c r="G1273" i="4"/>
  <c r="G1265" i="4"/>
  <c r="G1276" i="4"/>
  <c r="G1260" i="4"/>
  <c r="G1230" i="4"/>
  <c r="G1226" i="4"/>
  <c r="G1222" i="4"/>
  <c r="G1196" i="4"/>
  <c r="I1196" i="4" s="1"/>
  <c r="G1194" i="4"/>
  <c r="I1194" i="4" s="1"/>
  <c r="G1191" i="4"/>
  <c r="G1188" i="4"/>
  <c r="I1188" i="4" s="1"/>
  <c r="G1186" i="4"/>
  <c r="I1186" i="4" s="1"/>
  <c r="G1179" i="4"/>
  <c r="I1179" i="4" s="1"/>
  <c r="G1136" i="4"/>
  <c r="G1123" i="4"/>
  <c r="G1099" i="4"/>
  <c r="G1060" i="4"/>
  <c r="G992" i="4"/>
  <c r="G982" i="4"/>
  <c r="G979" i="4"/>
  <c r="G900" i="4"/>
  <c r="G875" i="4"/>
  <c r="G859" i="4"/>
  <c r="G855" i="4"/>
  <c r="G842" i="4"/>
  <c r="G837" i="4"/>
  <c r="G795" i="4"/>
  <c r="G769" i="4"/>
  <c r="G764" i="4"/>
  <c r="G755" i="4"/>
  <c r="G745" i="4"/>
  <c r="G741" i="4"/>
  <c r="G731" i="4"/>
  <c r="G715" i="4"/>
  <c r="G671" i="4"/>
  <c r="G664" i="4"/>
  <c r="G612" i="4"/>
  <c r="G568" i="4"/>
  <c r="I568" i="4" s="1"/>
  <c r="G552" i="4"/>
  <c r="G544" i="4"/>
  <c r="I544" i="4" s="1"/>
  <c r="G542" i="4"/>
  <c r="I542" i="4" s="1"/>
  <c r="G533" i="4"/>
  <c r="G522" i="4"/>
  <c r="G493" i="4"/>
  <c r="G489" i="4"/>
  <c r="G470" i="4"/>
  <c r="G406" i="4"/>
  <c r="G386" i="4"/>
  <c r="I386" i="4" s="1"/>
  <c r="G383" i="4"/>
  <c r="G355" i="4"/>
  <c r="G351" i="4"/>
  <c r="G347" i="4"/>
  <c r="G334" i="4"/>
  <c r="G329" i="4"/>
  <c r="G326" i="4"/>
  <c r="G323" i="4"/>
  <c r="G320" i="4"/>
  <c r="G317" i="4"/>
  <c r="G270" i="4"/>
  <c r="G244" i="4"/>
  <c r="G240" i="4"/>
  <c r="G196" i="4"/>
  <c r="G189" i="4"/>
  <c r="G177" i="4"/>
  <c r="G172" i="4"/>
  <c r="G168" i="4"/>
  <c r="G141" i="4"/>
  <c r="G138" i="4"/>
  <c r="G86" i="4"/>
  <c r="G72" i="4"/>
  <c r="I72" i="4" s="1"/>
  <c r="G24" i="4"/>
  <c r="G21" i="4"/>
  <c r="I21" i="4" s="1"/>
  <c r="G17" i="4"/>
  <c r="I17" i="4" s="1"/>
  <c r="G81" i="4"/>
  <c r="G666" i="4"/>
  <c r="I666" i="4" s="1"/>
  <c r="G78" i="4"/>
  <c r="I78" i="4" s="1"/>
  <c r="G35" i="6"/>
  <c r="G668" i="4"/>
  <c r="I668" i="4" s="1"/>
  <c r="G1055" i="4"/>
  <c r="I1055" i="4" s="1"/>
  <c r="G396" i="4"/>
  <c r="G928" i="4"/>
  <c r="G1314" i="4"/>
  <c r="I1314" i="4" s="1"/>
  <c r="G890" i="4"/>
  <c r="I890" i="4" s="1"/>
  <c r="G888" i="4"/>
  <c r="I888" i="4" s="1"/>
  <c r="G1338" i="4"/>
  <c r="I1338" i="4" s="1"/>
  <c r="G683" i="4"/>
  <c r="I683" i="4" s="1"/>
  <c r="G1156" i="4"/>
  <c r="I1156" i="4" s="1"/>
  <c r="G696" i="4"/>
  <c r="G1162" i="4"/>
  <c r="G252" i="4"/>
  <c r="I252" i="4" s="1"/>
  <c r="G102" i="4"/>
  <c r="I102" i="4" s="1"/>
  <c r="G104" i="4"/>
  <c r="I104" i="4" s="1"/>
  <c r="G107" i="4"/>
  <c r="I107" i="4" s="1"/>
  <c r="G109" i="4"/>
  <c r="I109" i="4" s="1"/>
  <c r="G1102" i="4"/>
  <c r="I1102" i="4" s="1"/>
  <c r="G1218" i="4"/>
  <c r="G1262" i="4"/>
  <c r="G370" i="4"/>
  <c r="I370" i="4" s="1"/>
  <c r="G582" i="4"/>
  <c r="G866" i="4"/>
  <c r="G748" i="4"/>
  <c r="G250" i="4"/>
  <c r="I250" i="4" s="1"/>
  <c r="G602" i="4"/>
  <c r="G789" i="4"/>
  <c r="G1130" i="4"/>
  <c r="G366" i="4"/>
  <c r="I366" i="4" s="1"/>
  <c r="G1208" i="4"/>
  <c r="I1208" i="4" s="1"/>
  <c r="G276" i="4"/>
  <c r="I276" i="4" s="1"/>
  <c r="G304" i="4"/>
  <c r="G388" i="4"/>
  <c r="I388" i="4" s="1"/>
  <c r="G606" i="4"/>
  <c r="I606" i="4" s="1"/>
  <c r="G995" i="4"/>
  <c r="G1104" i="4"/>
  <c r="I1104" i="4" s="1"/>
  <c r="G220" i="4"/>
  <c r="G566" i="4"/>
  <c r="I566" i="4" s="1"/>
  <c r="G798" i="4"/>
  <c r="G808" i="4"/>
  <c r="G966" i="4"/>
  <c r="G976" i="4"/>
  <c r="G1253" i="4"/>
  <c r="G425" i="4"/>
  <c r="G738" i="4"/>
  <c r="G1173" i="4"/>
  <c r="I1173" i="4" s="1"/>
  <c r="G848" i="4"/>
  <c r="G1159" i="4"/>
  <c r="G441" i="4"/>
  <c r="I441" i="4" s="1"/>
  <c r="G727" i="4"/>
  <c r="G792" i="4"/>
  <c r="G457" i="4"/>
  <c r="I457" i="4" s="1"/>
  <c r="G999" i="4"/>
  <c r="G1204" i="4"/>
  <c r="G1407" i="4"/>
  <c r="I1407" i="4" s="1"/>
  <c r="G423" i="4"/>
  <c r="I423" i="4" s="1"/>
  <c r="G443" i="4"/>
  <c r="I443" i="4" s="1"/>
  <c r="G74" i="4"/>
  <c r="I74" i="4" s="1"/>
  <c r="G217" i="4"/>
  <c r="G368" i="4"/>
  <c r="I368" i="4" s="1"/>
  <c r="G439" i="4"/>
  <c r="I439" i="4" s="1"/>
  <c r="G699" i="4"/>
  <c r="G1089" i="4"/>
  <c r="I1089" i="4" s="1"/>
  <c r="G735" i="4"/>
  <c r="G775" i="4"/>
  <c r="G805" i="4"/>
  <c r="G1142" i="4"/>
  <c r="I1142" i="4" s="1"/>
  <c r="G1214" i="4"/>
  <c r="G1256" i="4"/>
  <c r="I1256" i="4" s="1"/>
  <c r="G1012" i="4"/>
  <c r="G1091" i="4"/>
  <c r="I1091" i="4" s="1"/>
  <c r="G1144" i="4"/>
  <c r="I1144" i="4" s="1"/>
  <c r="G1268" i="4"/>
  <c r="I1268" i="4" s="1"/>
  <c r="D18" i="2"/>
  <c r="F18" i="2" s="1"/>
  <c r="C10" i="7"/>
  <c r="I664" i="4" l="1"/>
  <c r="G663" i="4"/>
  <c r="G1011" i="4"/>
  <c r="I1012" i="4"/>
  <c r="G1213" i="4"/>
  <c r="I1214" i="4"/>
  <c r="G734" i="4"/>
  <c r="I734" i="4" s="1"/>
  <c r="I735" i="4"/>
  <c r="G698" i="4"/>
  <c r="I699" i="4"/>
  <c r="G1203" i="4"/>
  <c r="I1204" i="4"/>
  <c r="G726" i="4"/>
  <c r="I727" i="4"/>
  <c r="G1158" i="4"/>
  <c r="I1158" i="4" s="1"/>
  <c r="I1159" i="4"/>
  <c r="G422" i="4"/>
  <c r="I425" i="4"/>
  <c r="G807" i="4"/>
  <c r="I807" i="4" s="1"/>
  <c r="I808" i="4"/>
  <c r="G774" i="4"/>
  <c r="I775" i="4"/>
  <c r="G216" i="4"/>
  <c r="I216" i="4" s="1"/>
  <c r="I217" i="4"/>
  <c r="G998" i="4"/>
  <c r="I999" i="4"/>
  <c r="G791" i="4"/>
  <c r="I791" i="4" s="1"/>
  <c r="I792" i="4"/>
  <c r="G847" i="4"/>
  <c r="I847" i="4" s="1"/>
  <c r="I848" i="4"/>
  <c r="G737" i="4"/>
  <c r="I737" i="4" s="1"/>
  <c r="I738" i="4"/>
  <c r="G1252" i="4"/>
  <c r="I1252" i="4" s="1"/>
  <c r="I1253" i="4"/>
  <c r="G965" i="4"/>
  <c r="I966" i="4"/>
  <c r="G797" i="4"/>
  <c r="I797" i="4" s="1"/>
  <c r="I798" i="4"/>
  <c r="G994" i="4"/>
  <c r="I994" i="4" s="1"/>
  <c r="I995" i="4"/>
  <c r="G788" i="4"/>
  <c r="I788" i="4" s="1"/>
  <c r="I789" i="4"/>
  <c r="G865" i="4"/>
  <c r="I866" i="4"/>
  <c r="G1217" i="4"/>
  <c r="I1218" i="4"/>
  <c r="G695" i="4"/>
  <c r="I696" i="4"/>
  <c r="G395" i="4"/>
  <c r="I396" i="4"/>
  <c r="G80" i="4"/>
  <c r="I80" i="4" s="1"/>
  <c r="I81" i="4"/>
  <c r="G137" i="4"/>
  <c r="I137" i="4" s="1"/>
  <c r="I138" i="4"/>
  <c r="G176" i="4"/>
  <c r="I177" i="4"/>
  <c r="G195" i="4"/>
  <c r="I196" i="4"/>
  <c r="G243" i="4"/>
  <c r="I244" i="4"/>
  <c r="G316" i="4"/>
  <c r="I316" i="4" s="1"/>
  <c r="I317" i="4"/>
  <c r="G322" i="4"/>
  <c r="I322" i="4" s="1"/>
  <c r="I323" i="4"/>
  <c r="G328" i="4"/>
  <c r="I328" i="4" s="1"/>
  <c r="I329" i="4"/>
  <c r="G354" i="4"/>
  <c r="I355" i="4"/>
  <c r="G469" i="4"/>
  <c r="I469" i="4" s="1"/>
  <c r="I470" i="4"/>
  <c r="G492" i="4"/>
  <c r="I492" i="4" s="1"/>
  <c r="I493" i="4"/>
  <c r="G532" i="4"/>
  <c r="I532" i="4" s="1"/>
  <c r="I533" i="4"/>
  <c r="G740" i="4"/>
  <c r="I740" i="4" s="1"/>
  <c r="I741" i="4"/>
  <c r="G754" i="4"/>
  <c r="I755" i="4"/>
  <c r="G768" i="4"/>
  <c r="I769" i="4"/>
  <c r="G836" i="4"/>
  <c r="I837" i="4"/>
  <c r="G854" i="4"/>
  <c r="I855" i="4"/>
  <c r="G874" i="4"/>
  <c r="I875" i="4"/>
  <c r="G978" i="4"/>
  <c r="I978" i="4" s="1"/>
  <c r="I979" i="4"/>
  <c r="G991" i="4"/>
  <c r="I991" i="4" s="1"/>
  <c r="I992" i="4"/>
  <c r="G1098" i="4"/>
  <c r="I1098" i="4" s="1"/>
  <c r="I1099" i="4"/>
  <c r="G1135" i="4"/>
  <c r="I1136" i="4"/>
  <c r="G1190" i="4"/>
  <c r="I1190" i="4" s="1"/>
  <c r="I1191" i="4"/>
  <c r="G1225" i="4"/>
  <c r="I1226" i="4"/>
  <c r="G763" i="5"/>
  <c r="I763" i="5" s="1"/>
  <c r="I1260" i="4"/>
  <c r="G1321" i="4"/>
  <c r="I1321" i="4" s="1"/>
  <c r="I1322" i="4"/>
  <c r="G44" i="6"/>
  <c r="I45" i="6"/>
  <c r="G118" i="4"/>
  <c r="I119" i="4"/>
  <c r="G256" i="4"/>
  <c r="I257" i="4"/>
  <c r="G1198" i="4"/>
  <c r="I1198" i="4" s="1"/>
  <c r="I1199" i="4"/>
  <c r="G21" i="6"/>
  <c r="I22" i="6"/>
  <c r="G358" i="4"/>
  <c r="I359" i="4"/>
  <c r="G634" i="4"/>
  <c r="I634" i="4" s="1"/>
  <c r="I635" i="4"/>
  <c r="G819" i="4"/>
  <c r="I820" i="4"/>
  <c r="G604" i="4"/>
  <c r="I604" i="4" s="1"/>
  <c r="I605" i="4"/>
  <c r="G127" i="4"/>
  <c r="I127" i="4" s="1"/>
  <c r="I128" i="4"/>
  <c r="G781" i="4"/>
  <c r="I781" i="4" s="1"/>
  <c r="I782" i="4"/>
  <c r="G35" i="4"/>
  <c r="I36" i="4"/>
  <c r="G400" i="4"/>
  <c r="I401" i="4"/>
  <c r="G586" i="4"/>
  <c r="I587" i="4"/>
  <c r="G15" i="6"/>
  <c r="I16" i="6"/>
  <c r="G306" i="4"/>
  <c r="I306" i="4" s="1"/>
  <c r="I307" i="4"/>
  <c r="F505" i="3"/>
  <c r="H506" i="3"/>
  <c r="F590" i="3"/>
  <c r="H590" i="3" s="1"/>
  <c r="I1355" i="4"/>
  <c r="G1300" i="4"/>
  <c r="I1300" i="4" s="1"/>
  <c r="I1301" i="4"/>
  <c r="F130" i="3"/>
  <c r="I19" i="4"/>
  <c r="G827" i="4"/>
  <c r="I828" i="4"/>
  <c r="G1335" i="4"/>
  <c r="I1340" i="4"/>
  <c r="G510" i="4"/>
  <c r="I510" i="4" s="1"/>
  <c r="I511" i="4"/>
  <c r="G784" i="4"/>
  <c r="I784" i="4" s="1"/>
  <c r="I785" i="4"/>
  <c r="G507" i="4"/>
  <c r="I507" i="4" s="1"/>
  <c r="I508" i="4"/>
  <c r="G459" i="4"/>
  <c r="I459" i="4" s="1"/>
  <c r="I460" i="4"/>
  <c r="G535" i="4"/>
  <c r="I535" i="4" s="1"/>
  <c r="I536" i="4"/>
  <c r="G1287" i="4"/>
  <c r="I1288" i="4"/>
  <c r="G1303" i="4"/>
  <c r="I1303" i="4" s="1"/>
  <c r="I1304" i="4"/>
  <c r="F1032" i="3"/>
  <c r="I571" i="4"/>
  <c r="G418" i="4"/>
  <c r="I418" i="4" s="1"/>
  <c r="I419" i="4"/>
  <c r="G503" i="4"/>
  <c r="I504" i="4"/>
  <c r="G1070" i="4"/>
  <c r="I1070" i="4" s="1"/>
  <c r="I1071" i="4"/>
  <c r="F185" i="3"/>
  <c r="I1107" i="4"/>
  <c r="G1316" i="4"/>
  <c r="I1316" i="4" s="1"/>
  <c r="I1317" i="4"/>
  <c r="D19" i="7"/>
  <c r="D13" i="7" s="1"/>
  <c r="E40" i="2"/>
  <c r="G804" i="4"/>
  <c r="I804" i="4" s="1"/>
  <c r="I805" i="4"/>
  <c r="G975" i="4"/>
  <c r="I975" i="4" s="1"/>
  <c r="I976" i="4"/>
  <c r="G303" i="4"/>
  <c r="I303" i="4" s="1"/>
  <c r="I304" i="4"/>
  <c r="G1129" i="4"/>
  <c r="I1130" i="4"/>
  <c r="G599" i="4"/>
  <c r="I602" i="4"/>
  <c r="G747" i="4"/>
  <c r="I747" i="4" s="1"/>
  <c r="I748" i="4"/>
  <c r="G581" i="4"/>
  <c r="I582" i="4"/>
  <c r="G1261" i="4"/>
  <c r="I1261" i="4" s="1"/>
  <c r="I1262" i="4"/>
  <c r="G1161" i="4"/>
  <c r="I1161" i="4" s="1"/>
  <c r="I1162" i="4"/>
  <c r="G927" i="4"/>
  <c r="I927" i="4" s="1"/>
  <c r="I928" i="4"/>
  <c r="G34" i="6"/>
  <c r="I35" i="6"/>
  <c r="G23" i="4"/>
  <c r="I23" i="4" s="1"/>
  <c r="I24" i="4"/>
  <c r="G85" i="4"/>
  <c r="I85" i="4" s="1"/>
  <c r="I86" i="4"/>
  <c r="G140" i="4"/>
  <c r="I140" i="4" s="1"/>
  <c r="I141" i="4"/>
  <c r="G171" i="4"/>
  <c r="I172" i="4"/>
  <c r="G188" i="4"/>
  <c r="I189" i="4"/>
  <c r="G269" i="4"/>
  <c r="I270" i="4"/>
  <c r="G319" i="4"/>
  <c r="I319" i="4" s="1"/>
  <c r="I320" i="4"/>
  <c r="G325" i="4"/>
  <c r="I325" i="4" s="1"/>
  <c r="I326" i="4"/>
  <c r="G333" i="4"/>
  <c r="I334" i="4"/>
  <c r="G382" i="4"/>
  <c r="I382" i="4" s="1"/>
  <c r="I383" i="4"/>
  <c r="G405" i="4"/>
  <c r="I405" i="4" s="1"/>
  <c r="I406" i="4"/>
  <c r="G488" i="4"/>
  <c r="I489" i="4"/>
  <c r="G521" i="4"/>
  <c r="I521" i="4" s="1"/>
  <c r="I522" i="4"/>
  <c r="G611" i="4"/>
  <c r="I612" i="4"/>
  <c r="G670" i="4"/>
  <c r="I670" i="4" s="1"/>
  <c r="I671" i="4"/>
  <c r="G730" i="4"/>
  <c r="I731" i="4"/>
  <c r="G744" i="4"/>
  <c r="I744" i="4" s="1"/>
  <c r="I745" i="4"/>
  <c r="G763" i="4"/>
  <c r="I764" i="4"/>
  <c r="G794" i="4"/>
  <c r="I794" i="4" s="1"/>
  <c r="I795" i="4"/>
  <c r="G841" i="4"/>
  <c r="I842" i="4"/>
  <c r="G858" i="4"/>
  <c r="I859" i="4"/>
  <c r="G899" i="4"/>
  <c r="I899" i="4" s="1"/>
  <c r="I900" i="4"/>
  <c r="G981" i="4"/>
  <c r="I981" i="4" s="1"/>
  <c r="I982" i="4"/>
  <c r="G1221" i="4"/>
  <c r="I1222" i="4"/>
  <c r="G1229" i="4"/>
  <c r="I1230" i="4"/>
  <c r="G1272" i="4"/>
  <c r="I1272" i="4" s="1"/>
  <c r="I1273" i="4"/>
  <c r="G1411" i="4"/>
  <c r="I1411" i="4" s="1"/>
  <c r="I1412" i="4"/>
  <c r="G415" i="4"/>
  <c r="I415" i="4" s="1"/>
  <c r="I416" i="4"/>
  <c r="G131" i="4"/>
  <c r="I132" i="4"/>
  <c r="G1279" i="4"/>
  <c r="I1280" i="4"/>
  <c r="G391" i="4"/>
  <c r="I392" i="4"/>
  <c r="G28" i="6"/>
  <c r="I29" i="6"/>
  <c r="G40" i="6"/>
  <c r="I41" i="6"/>
  <c r="G1363" i="4"/>
  <c r="I1364" i="4"/>
  <c r="G758" i="4"/>
  <c r="I759" i="4"/>
  <c r="F66" i="3"/>
  <c r="H66" i="3" s="1"/>
  <c r="I77" i="4"/>
  <c r="G811" i="4"/>
  <c r="I812" i="4"/>
  <c r="G54" i="4"/>
  <c r="I54" i="4" s="1"/>
  <c r="I55" i="4"/>
  <c r="G815" i="4"/>
  <c r="I816" i="4"/>
  <c r="G65" i="4"/>
  <c r="I66" i="4"/>
  <c r="G823" i="4"/>
  <c r="I824" i="4"/>
  <c r="G1296" i="4"/>
  <c r="I1297" i="4"/>
  <c r="F586" i="3"/>
  <c r="I1351" i="4"/>
  <c r="G1283" i="4"/>
  <c r="I1284" i="4"/>
  <c r="G98" i="4"/>
  <c r="I98" i="4" s="1"/>
  <c r="I99" i="4"/>
  <c r="G562" i="4"/>
  <c r="I562" i="4" s="1"/>
  <c r="I563" i="4"/>
  <c r="G1332" i="4"/>
  <c r="I1332" i="4" s="1"/>
  <c r="I1333" i="4"/>
  <c r="G495" i="4"/>
  <c r="I495" i="4" s="1"/>
  <c r="I496" i="4"/>
  <c r="G652" i="4"/>
  <c r="I652" i="4" s="1"/>
  <c r="I653" i="4"/>
  <c r="G435" i="4"/>
  <c r="I435" i="4" s="1"/>
  <c r="I436" i="4"/>
  <c r="G603" i="5"/>
  <c r="I603" i="5" s="1"/>
  <c r="I456" i="4"/>
  <c r="G524" i="4"/>
  <c r="I525" i="4"/>
  <c r="G594" i="4"/>
  <c r="I595" i="4"/>
  <c r="G913" i="4"/>
  <c r="I913" i="4" s="1"/>
  <c r="I914" i="4"/>
  <c r="G700" i="5"/>
  <c r="I700" i="5" s="1"/>
  <c r="I516" i="4"/>
  <c r="G1233" i="4"/>
  <c r="I1233" i="4" s="1"/>
  <c r="I1234" i="4"/>
  <c r="G465" i="4"/>
  <c r="I465" i="4" s="1"/>
  <c r="I466" i="4"/>
  <c r="G290" i="4"/>
  <c r="I291" i="4"/>
  <c r="F1010" i="3"/>
  <c r="H1011" i="3"/>
  <c r="G41" i="4"/>
  <c r="I42" i="4"/>
  <c r="G475" i="4"/>
  <c r="I475" i="4" s="1"/>
  <c r="I476" i="4"/>
  <c r="E38" i="2"/>
  <c r="F65" i="3"/>
  <c r="E27" i="2"/>
  <c r="G1391" i="4"/>
  <c r="I1392" i="4"/>
  <c r="G1376" i="4"/>
  <c r="I1377" i="4"/>
  <c r="G1275" i="4"/>
  <c r="I1275" i="4" s="1"/>
  <c r="I1276" i="4"/>
  <c r="G1264" i="4"/>
  <c r="I1264" i="4" s="1"/>
  <c r="I1265" i="4"/>
  <c r="G1244" i="4"/>
  <c r="I1244" i="4" s="1"/>
  <c r="I1245" i="4"/>
  <c r="G1238" i="4"/>
  <c r="I1239" i="4"/>
  <c r="G1122" i="4"/>
  <c r="I1123" i="4"/>
  <c r="G1059" i="4"/>
  <c r="I1059" i="4" s="1"/>
  <c r="I1060" i="4"/>
  <c r="G1006" i="4"/>
  <c r="I1007" i="4"/>
  <c r="G946" i="4"/>
  <c r="I947" i="4"/>
  <c r="G714" i="4"/>
  <c r="I715" i="4"/>
  <c r="G551" i="4"/>
  <c r="I551" i="4" s="1"/>
  <c r="I552" i="4"/>
  <c r="G346" i="4"/>
  <c r="I347" i="4"/>
  <c r="G350" i="4"/>
  <c r="I351" i="4"/>
  <c r="G239" i="4"/>
  <c r="I240" i="4"/>
  <c r="G219" i="4"/>
  <c r="I219" i="4" s="1"/>
  <c r="I220" i="4"/>
  <c r="G167" i="4"/>
  <c r="I168" i="4"/>
  <c r="G162" i="4"/>
  <c r="I163" i="4"/>
  <c r="G365" i="4"/>
  <c r="G846" i="4"/>
  <c r="G649" i="4"/>
  <c r="I649" i="4" s="1"/>
  <c r="G181" i="4"/>
  <c r="G787" i="4"/>
  <c r="I787" i="4" s="1"/>
  <c r="G1399" i="4"/>
  <c r="I1399" i="4" s="1"/>
  <c r="G974" i="4"/>
  <c r="I974" i="4" s="1"/>
  <c r="G60" i="34"/>
  <c r="F818" i="3"/>
  <c r="G215" i="4"/>
  <c r="I215" i="4" s="1"/>
  <c r="G1299" i="4"/>
  <c r="G780" i="4"/>
  <c r="I780" i="4" s="1"/>
  <c r="F314" i="3"/>
  <c r="G992" i="5"/>
  <c r="I992" i="5" s="1"/>
  <c r="R38" i="25"/>
  <c r="G701" i="5"/>
  <c r="I701" i="5" s="1"/>
  <c r="G699" i="5"/>
  <c r="G41" i="5"/>
  <c r="I41" i="5" s="1"/>
  <c r="G762" i="5"/>
  <c r="I762" i="5" s="1"/>
  <c r="G764" i="5"/>
  <c r="I764" i="5" s="1"/>
  <c r="G604" i="5"/>
  <c r="I604" i="5" s="1"/>
  <c r="G602" i="5"/>
  <c r="G462" i="4"/>
  <c r="I462" i="4" s="1"/>
  <c r="G614" i="5"/>
  <c r="I614" i="5" s="1"/>
  <c r="F962" i="3"/>
  <c r="F917" i="3"/>
  <c r="F977" i="3"/>
  <c r="F495" i="3"/>
  <c r="G689" i="4"/>
  <c r="F211" i="3"/>
  <c r="G157" i="4"/>
  <c r="F208" i="3"/>
  <c r="G52" i="4"/>
  <c r="F18" i="3"/>
  <c r="G1207" i="4"/>
  <c r="G892" i="4"/>
  <c r="I892" i="4" s="1"/>
  <c r="G506" i="4"/>
  <c r="I506" i="4" s="1"/>
  <c r="G531" i="4"/>
  <c r="G926" i="4"/>
  <c r="I926" i="4" s="1"/>
  <c r="G1185" i="4"/>
  <c r="I1185" i="4" s="1"/>
  <c r="G455" i="4"/>
  <c r="G1350" i="4"/>
  <c r="I1350" i="4" s="1"/>
  <c r="G302" i="4"/>
  <c r="G122" i="4"/>
  <c r="G146" i="4"/>
  <c r="G1258" i="4"/>
  <c r="G1088" i="4"/>
  <c r="G1406" i="4"/>
  <c r="I1406" i="4" s="1"/>
  <c r="G570" i="4"/>
  <c r="G766" i="4"/>
  <c r="I766" i="4" s="1"/>
  <c r="G1172" i="4"/>
  <c r="I1172" i="4" s="1"/>
  <c r="G872" i="4"/>
  <c r="I872" i="4" s="1"/>
  <c r="G413" i="4"/>
  <c r="G385" i="4"/>
  <c r="G682" i="4"/>
  <c r="I682" i="4" s="1"/>
  <c r="G1193" i="4"/>
  <c r="I1193" i="4" s="1"/>
  <c r="G1002" i="4"/>
  <c r="G101" i="4"/>
  <c r="G275" i="4"/>
  <c r="I275" i="4" s="1"/>
  <c r="G331" i="4"/>
  <c r="I331" i="4" s="1"/>
  <c r="G803" i="4"/>
  <c r="I803" i="4" s="1"/>
  <c r="G1054" i="4"/>
  <c r="G1309" i="4"/>
  <c r="G249" i="4"/>
  <c r="G1153" i="4"/>
  <c r="I1153" i="4" s="1"/>
  <c r="G887" i="4"/>
  <c r="G1356" i="4"/>
  <c r="I1356" i="4" s="1"/>
  <c r="G618" i="4"/>
  <c r="G733" i="4"/>
  <c r="I733" i="4" s="1"/>
  <c r="G136" i="4"/>
  <c r="G106" i="4"/>
  <c r="I106" i="4" s="1"/>
  <c r="G491" i="4"/>
  <c r="I491" i="4" s="1"/>
  <c r="G76" i="4"/>
  <c r="G1270" i="4"/>
  <c r="G500" i="4"/>
  <c r="G549" i="4"/>
  <c r="G515" i="4"/>
  <c r="G630" i="4"/>
  <c r="G990" i="4"/>
  <c r="I990" i="4" s="1"/>
  <c r="G1139" i="4"/>
  <c r="I1139" i="4" s="1"/>
  <c r="G1232" i="4"/>
  <c r="I1232" i="4" s="1"/>
  <c r="G315" i="4"/>
  <c r="G642" i="4"/>
  <c r="G111" i="4"/>
  <c r="I111" i="4" s="1"/>
  <c r="G1178" i="4"/>
  <c r="I1178" i="4" s="1"/>
  <c r="G16" i="4"/>
  <c r="G1073" i="4"/>
  <c r="G694" i="4"/>
  <c r="G438" i="4"/>
  <c r="G404" i="4"/>
  <c r="I404" i="4" s="1"/>
  <c r="G403" i="4"/>
  <c r="I403" i="4" s="1"/>
  <c r="G205" i="4"/>
  <c r="I205" i="4" s="1"/>
  <c r="G187" i="4"/>
  <c r="I187" i="4" s="1"/>
  <c r="G174" i="4"/>
  <c r="I174" i="4" s="1"/>
  <c r="F12" i="3"/>
  <c r="G632" i="4"/>
  <c r="I632" i="4" s="1"/>
  <c r="G633" i="4"/>
  <c r="I633" i="4" s="1"/>
  <c r="G228" i="4"/>
  <c r="G1352" i="4"/>
  <c r="G203" i="4"/>
  <c r="G546" i="4"/>
  <c r="G473" i="4"/>
  <c r="G428" i="4"/>
  <c r="G917" i="4"/>
  <c r="G1292" i="4"/>
  <c r="G1106" i="4"/>
  <c r="L38" i="25"/>
  <c r="N43" i="25"/>
  <c r="K43" i="25" s="1"/>
  <c r="T37" i="25"/>
  <c r="Q37" i="25"/>
  <c r="F38" i="25"/>
  <c r="N37" i="25"/>
  <c r="K5" i="25"/>
  <c r="K37" i="25" s="1"/>
  <c r="H37" i="25"/>
  <c r="E5" i="25"/>
  <c r="E37" i="25" s="1"/>
  <c r="G662" i="4" l="1"/>
  <c r="D14" i="7"/>
  <c r="D12" i="7"/>
  <c r="D9" i="7" s="1"/>
  <c r="G427" i="4"/>
  <c r="I427" i="4" s="1"/>
  <c r="I428" i="4"/>
  <c r="F587" i="3"/>
  <c r="I1352" i="4"/>
  <c r="F11" i="3"/>
  <c r="H12" i="3"/>
  <c r="G693" i="4"/>
  <c r="I694" i="4"/>
  <c r="G548" i="4"/>
  <c r="I548" i="4" s="1"/>
  <c r="I549" i="4"/>
  <c r="G1267" i="4"/>
  <c r="I1267" i="4" s="1"/>
  <c r="I1270" i="4"/>
  <c r="G135" i="4"/>
  <c r="I136" i="4"/>
  <c r="G886" i="4"/>
  <c r="I886" i="4" s="1"/>
  <c r="I887" i="4"/>
  <c r="G1001" i="4"/>
  <c r="I1001" i="4" s="1"/>
  <c r="I1002" i="4"/>
  <c r="G1101" i="4"/>
  <c r="I1106" i="4"/>
  <c r="G916" i="4"/>
  <c r="I917" i="4"/>
  <c r="G472" i="4"/>
  <c r="I473" i="4"/>
  <c r="G202" i="4"/>
  <c r="I202" i="4" s="1"/>
  <c r="I203" i="4"/>
  <c r="G227" i="4"/>
  <c r="I228" i="4"/>
  <c r="G641" i="4"/>
  <c r="I641" i="4" s="1"/>
  <c r="I642" i="4"/>
  <c r="G514" i="4"/>
  <c r="I515" i="4"/>
  <c r="G499" i="4"/>
  <c r="I500" i="4"/>
  <c r="G1308" i="4"/>
  <c r="I1308" i="4" s="1"/>
  <c r="I1309" i="4"/>
  <c r="G381" i="4"/>
  <c r="I381" i="4" s="1"/>
  <c r="I385" i="4"/>
  <c r="G1255" i="4"/>
  <c r="I1255" i="4" s="1"/>
  <c r="I1258" i="4"/>
  <c r="G121" i="4"/>
  <c r="I122" i="4"/>
  <c r="G530" i="4"/>
  <c r="I530" i="4" s="1"/>
  <c r="I531" i="4"/>
  <c r="F17" i="3"/>
  <c r="H17" i="3" s="1"/>
  <c r="H18" i="3"/>
  <c r="F206" i="3"/>
  <c r="H208" i="3"/>
  <c r="F210" i="3"/>
  <c r="H211" i="3"/>
  <c r="F493" i="3"/>
  <c r="H495" i="3"/>
  <c r="F916" i="3"/>
  <c r="H917" i="3"/>
  <c r="G601" i="5"/>
  <c r="I601" i="5" s="1"/>
  <c r="I602" i="5"/>
  <c r="I1299" i="4"/>
  <c r="G1243" i="4"/>
  <c r="G59" i="34"/>
  <c r="I60" i="34"/>
  <c r="G180" i="4"/>
  <c r="I181" i="4"/>
  <c r="I846" i="4"/>
  <c r="G1291" i="4"/>
  <c r="I1292" i="4"/>
  <c r="G541" i="4"/>
  <c r="I541" i="4" s="1"/>
  <c r="I546" i="4"/>
  <c r="G434" i="4"/>
  <c r="I434" i="4" s="1"/>
  <c r="I438" i="4"/>
  <c r="G15" i="4"/>
  <c r="I15" i="4" s="1"/>
  <c r="I16" i="4"/>
  <c r="G314" i="4"/>
  <c r="I314" i="4" s="1"/>
  <c r="I315" i="4"/>
  <c r="G629" i="4"/>
  <c r="I630" i="4"/>
  <c r="G617" i="4"/>
  <c r="I617" i="4" s="1"/>
  <c r="I618" i="4"/>
  <c r="G248" i="4"/>
  <c r="I248" i="4" s="1"/>
  <c r="I249" i="4"/>
  <c r="G1053" i="4"/>
  <c r="I1053" i="4" s="1"/>
  <c r="I1054" i="4"/>
  <c r="I662" i="4"/>
  <c r="I663" i="4"/>
  <c r="G412" i="4"/>
  <c r="I413" i="4"/>
  <c r="G565" i="4"/>
  <c r="I570" i="4"/>
  <c r="G1087" i="4"/>
  <c r="I1088" i="4"/>
  <c r="G145" i="4"/>
  <c r="I146" i="4"/>
  <c r="G454" i="4"/>
  <c r="I454" i="4" s="1"/>
  <c r="I455" i="4"/>
  <c r="G1206" i="4"/>
  <c r="I1206" i="4" s="1"/>
  <c r="I1207" i="4"/>
  <c r="G49" i="4"/>
  <c r="I52" i="4"/>
  <c r="G154" i="4"/>
  <c r="I157" i="4"/>
  <c r="G688" i="4"/>
  <c r="I688" i="4" s="1"/>
  <c r="I689" i="4"/>
  <c r="F976" i="3"/>
  <c r="H977" i="3"/>
  <c r="F961" i="3"/>
  <c r="H962" i="3"/>
  <c r="G698" i="5"/>
  <c r="I699" i="5"/>
  <c r="F313" i="3"/>
  <c r="H314" i="3"/>
  <c r="F817" i="3"/>
  <c r="H818" i="3"/>
  <c r="G364" i="4"/>
  <c r="I364" i="4" s="1"/>
  <c r="I365" i="4"/>
  <c r="E34" i="2"/>
  <c r="E54" i="2" s="1"/>
  <c r="E58" i="2" s="1"/>
  <c r="G40" i="4"/>
  <c r="I41" i="4"/>
  <c r="F1009" i="3"/>
  <c r="H1010" i="3"/>
  <c r="G286" i="4"/>
  <c r="I290" i="4"/>
  <c r="G593" i="4"/>
  <c r="I594" i="4"/>
  <c r="G520" i="4"/>
  <c r="I524" i="4"/>
  <c r="G1282" i="4"/>
  <c r="I1282" i="4" s="1"/>
  <c r="I1283" i="4"/>
  <c r="F585" i="3"/>
  <c r="H585" i="3" s="1"/>
  <c r="H586" i="3"/>
  <c r="G1295" i="4"/>
  <c r="I1295" i="4" s="1"/>
  <c r="I1296" i="4"/>
  <c r="G822" i="4"/>
  <c r="I822" i="4" s="1"/>
  <c r="I823" i="4"/>
  <c r="G64" i="4"/>
  <c r="I65" i="4"/>
  <c r="G814" i="4"/>
  <c r="I814" i="4" s="1"/>
  <c r="I815" i="4"/>
  <c r="G810" i="4"/>
  <c r="I810" i="4" s="1"/>
  <c r="I811" i="4"/>
  <c r="G757" i="4"/>
  <c r="I757" i="4" s="1"/>
  <c r="I758" i="4"/>
  <c r="G1362" i="4"/>
  <c r="I1363" i="4"/>
  <c r="G39" i="6"/>
  <c r="I40" i="6"/>
  <c r="G27" i="6"/>
  <c r="I28" i="6"/>
  <c r="G390" i="4"/>
  <c r="I390" i="4" s="1"/>
  <c r="I391" i="4"/>
  <c r="G1278" i="4"/>
  <c r="I1278" i="4" s="1"/>
  <c r="I1279" i="4"/>
  <c r="G130" i="4"/>
  <c r="I130" i="4" s="1"/>
  <c r="I131" i="4"/>
  <c r="G1228" i="4"/>
  <c r="I1228" i="4" s="1"/>
  <c r="I1229" i="4"/>
  <c r="G1220" i="4"/>
  <c r="I1220" i="4" s="1"/>
  <c r="I1221" i="4"/>
  <c r="G857" i="4"/>
  <c r="I857" i="4" s="1"/>
  <c r="I858" i="4"/>
  <c r="G840" i="4"/>
  <c r="I841" i="4"/>
  <c r="G762" i="4"/>
  <c r="I763" i="4"/>
  <c r="G729" i="4"/>
  <c r="I729" i="4" s="1"/>
  <c r="I730" i="4"/>
  <c r="G610" i="4"/>
  <c r="I610" i="4" s="1"/>
  <c r="I611" i="4"/>
  <c r="G487" i="4"/>
  <c r="I487" i="4" s="1"/>
  <c r="I488" i="4"/>
  <c r="G332" i="4"/>
  <c r="I332" i="4" s="1"/>
  <c r="I333" i="4"/>
  <c r="G268" i="4"/>
  <c r="I269" i="4"/>
  <c r="G186" i="4"/>
  <c r="I186" i="4" s="1"/>
  <c r="I188" i="4"/>
  <c r="G170" i="4"/>
  <c r="I170" i="4" s="1"/>
  <c r="I171" i="4"/>
  <c r="G33" i="6"/>
  <c r="I34" i="6"/>
  <c r="G580" i="4"/>
  <c r="I581" i="4"/>
  <c r="G598" i="4"/>
  <c r="I599" i="4"/>
  <c r="G1128" i="4"/>
  <c r="I1129" i="4"/>
  <c r="F184" i="3"/>
  <c r="H185" i="3"/>
  <c r="G502" i="4"/>
  <c r="I502" i="4" s="1"/>
  <c r="I503" i="4"/>
  <c r="F1031" i="3"/>
  <c r="H1032" i="3"/>
  <c r="G1286" i="4"/>
  <c r="I1286" i="4" s="1"/>
  <c r="I1287" i="4"/>
  <c r="G1331" i="4"/>
  <c r="I1331" i="4" s="1"/>
  <c r="I1335" i="4"/>
  <c r="G826" i="4"/>
  <c r="I826" i="4" s="1"/>
  <c r="I827" i="4"/>
  <c r="F129" i="3"/>
  <c r="H130" i="3"/>
  <c r="F502" i="3"/>
  <c r="H502" i="3" s="1"/>
  <c r="H505" i="3"/>
  <c r="G14" i="6"/>
  <c r="I15" i="6"/>
  <c r="G584" i="4"/>
  <c r="I584" i="4" s="1"/>
  <c r="I586" i="4"/>
  <c r="G398" i="4"/>
  <c r="I398" i="4" s="1"/>
  <c r="I400" i="4"/>
  <c r="G34" i="4"/>
  <c r="I35" i="4"/>
  <c r="G818" i="4"/>
  <c r="I818" i="4" s="1"/>
  <c r="I819" i="4"/>
  <c r="G357" i="4"/>
  <c r="I357" i="4" s="1"/>
  <c r="I358" i="4"/>
  <c r="G20" i="6"/>
  <c r="I21" i="6"/>
  <c r="G255" i="4"/>
  <c r="I256" i="4"/>
  <c r="G117" i="4"/>
  <c r="I117" i="4" s="1"/>
  <c r="I118" i="4"/>
  <c r="G43" i="6"/>
  <c r="I44" i="6"/>
  <c r="G1224" i="4"/>
  <c r="I1224" i="4" s="1"/>
  <c r="I1225" i="4"/>
  <c r="G1134" i="4"/>
  <c r="I1134" i="4" s="1"/>
  <c r="I1135" i="4"/>
  <c r="G873" i="4"/>
  <c r="I873" i="4" s="1"/>
  <c r="I874" i="4"/>
  <c r="G853" i="4"/>
  <c r="I853" i="4" s="1"/>
  <c r="I854" i="4"/>
  <c r="G835" i="4"/>
  <c r="I836" i="4"/>
  <c r="G767" i="4"/>
  <c r="I767" i="4" s="1"/>
  <c r="I768" i="4"/>
  <c r="G753" i="4"/>
  <c r="I753" i="4" s="1"/>
  <c r="I754" i="4"/>
  <c r="G353" i="4"/>
  <c r="I353" i="4" s="1"/>
  <c r="I354" i="4"/>
  <c r="G242" i="4"/>
  <c r="I242" i="4" s="1"/>
  <c r="I243" i="4"/>
  <c r="G194" i="4"/>
  <c r="I195" i="4"/>
  <c r="G175" i="4"/>
  <c r="I175" i="4" s="1"/>
  <c r="I176" i="4"/>
  <c r="G394" i="4"/>
  <c r="I394" i="4" s="1"/>
  <c r="I395" i="4"/>
  <c r="F396" i="3"/>
  <c r="I695" i="4"/>
  <c r="G1216" i="4"/>
  <c r="I1216" i="4" s="1"/>
  <c r="I1217" i="4"/>
  <c r="G861" i="4"/>
  <c r="I861" i="4" s="1"/>
  <c r="I865" i="4"/>
  <c r="G964" i="4"/>
  <c r="I964" i="4" s="1"/>
  <c r="I965" i="4"/>
  <c r="G997" i="4"/>
  <c r="I997" i="4" s="1"/>
  <c r="I998" i="4"/>
  <c r="G773" i="4"/>
  <c r="I773" i="4" s="1"/>
  <c r="I774" i="4"/>
  <c r="G421" i="4"/>
  <c r="I421" i="4" s="1"/>
  <c r="I422" i="4"/>
  <c r="G725" i="4"/>
  <c r="I725" i="4" s="1"/>
  <c r="I726" i="4"/>
  <c r="G1202" i="4"/>
  <c r="I1202" i="4" s="1"/>
  <c r="I1203" i="4"/>
  <c r="F399" i="3"/>
  <c r="I698" i="4"/>
  <c r="G1212" i="4"/>
  <c r="I1212" i="4" s="1"/>
  <c r="I1213" i="4"/>
  <c r="G1010" i="4"/>
  <c r="I1011" i="4"/>
  <c r="G71" i="4"/>
  <c r="I76" i="4"/>
  <c r="F60" i="3"/>
  <c r="H65" i="3"/>
  <c r="G301" i="4"/>
  <c r="I302" i="4"/>
  <c r="G1390" i="4"/>
  <c r="I1391" i="4"/>
  <c r="G1375" i="4"/>
  <c r="I1376" i="4"/>
  <c r="G1242" i="4"/>
  <c r="I1242" i="4" s="1"/>
  <c r="I1243" i="4"/>
  <c r="G1237" i="4"/>
  <c r="I1238" i="4"/>
  <c r="G1121" i="4"/>
  <c r="I1122" i="4"/>
  <c r="G1069" i="4"/>
  <c r="I1069" i="4" s="1"/>
  <c r="I1073" i="4"/>
  <c r="G1005" i="4"/>
  <c r="I1005" i="4" s="1"/>
  <c r="I1006" i="4"/>
  <c r="G945" i="4"/>
  <c r="I946" i="4"/>
  <c r="G713" i="4"/>
  <c r="I714" i="4"/>
  <c r="G349" i="4"/>
  <c r="I349" i="4" s="1"/>
  <c r="I350" i="4"/>
  <c r="G345" i="4"/>
  <c r="I346" i="4"/>
  <c r="G238" i="4"/>
  <c r="I239" i="4"/>
  <c r="G166" i="4"/>
  <c r="I167" i="4"/>
  <c r="G161" i="4"/>
  <c r="I162" i="4"/>
  <c r="G97" i="4"/>
  <c r="I97" i="4" s="1"/>
  <c r="I101" i="4"/>
  <c r="G540" i="4"/>
  <c r="I540" i="4" s="1"/>
  <c r="G61" i="34"/>
  <c r="I61" i="34" s="1"/>
  <c r="G201" i="4"/>
  <c r="G1398" i="4"/>
  <c r="G885" i="4"/>
  <c r="I885" i="4" s="1"/>
  <c r="G274" i="4"/>
  <c r="G661" i="4"/>
  <c r="G1068" i="4"/>
  <c r="I1068" i="4" s="1"/>
  <c r="G14" i="4"/>
  <c r="I14" i="4" s="1"/>
  <c r="G56" i="34"/>
  <c r="G1251" i="4"/>
  <c r="G1307" i="4"/>
  <c r="I1307" i="4" s="1"/>
  <c r="G772" i="4"/>
  <c r="G993" i="5"/>
  <c r="I993" i="5" s="1"/>
  <c r="G991" i="5"/>
  <c r="G453" i="4"/>
  <c r="G40" i="5"/>
  <c r="G42" i="5"/>
  <c r="I42" i="5" s="1"/>
  <c r="G615" i="5"/>
  <c r="I615" i="5" s="1"/>
  <c r="G613" i="5"/>
  <c r="G640" i="4"/>
  <c r="G681" i="4"/>
  <c r="G1152" i="4"/>
  <c r="G1138" i="4"/>
  <c r="G963" i="4"/>
  <c r="I963" i="4" s="1"/>
  <c r="G1184" i="4"/>
  <c r="I1184" i="4" s="1"/>
  <c r="G1349" i="4"/>
  <c r="G1171" i="4"/>
  <c r="I1171" i="4" s="1"/>
  <c r="G363" i="4"/>
  <c r="I363" i="4" s="1"/>
  <c r="G1052" i="4"/>
  <c r="I1052" i="4" s="1"/>
  <c r="G247" i="4"/>
  <c r="D52" i="2"/>
  <c r="F52" i="2" s="1"/>
  <c r="G1151" i="4" l="1"/>
  <c r="I1152" i="4"/>
  <c r="G612" i="5"/>
  <c r="I613" i="5"/>
  <c r="G990" i="5"/>
  <c r="I991" i="5"/>
  <c r="I247" i="4"/>
  <c r="G1201" i="4"/>
  <c r="I1201" i="4" s="1"/>
  <c r="G1133" i="4"/>
  <c r="I1133" i="4" s="1"/>
  <c r="I1138" i="4"/>
  <c r="G639" i="4"/>
  <c r="I640" i="4"/>
  <c r="G39" i="5"/>
  <c r="I40" i="5"/>
  <c r="I453" i="4"/>
  <c r="G55" i="34"/>
  <c r="I56" i="34"/>
  <c r="G660" i="4"/>
  <c r="I660" i="4" s="1"/>
  <c r="I661" i="4"/>
  <c r="G273" i="4"/>
  <c r="I274" i="4"/>
  <c r="G1397" i="4"/>
  <c r="I1398" i="4"/>
  <c r="F816" i="3"/>
  <c r="H817" i="3"/>
  <c r="F312" i="3"/>
  <c r="H313" i="3"/>
  <c r="G697" i="5"/>
  <c r="I698" i="5"/>
  <c r="F960" i="3"/>
  <c r="H961" i="3"/>
  <c r="F975" i="3"/>
  <c r="H976" i="3"/>
  <c r="G153" i="4"/>
  <c r="I154" i="4"/>
  <c r="G48" i="4"/>
  <c r="I49" i="4"/>
  <c r="G144" i="4"/>
  <c r="I145" i="4"/>
  <c r="G1086" i="4"/>
  <c r="I1086" i="4" s="1"/>
  <c r="I1087" i="4"/>
  <c r="G561" i="4"/>
  <c r="I565" i="4"/>
  <c r="G411" i="4"/>
  <c r="I412" i="4"/>
  <c r="G628" i="4"/>
  <c r="I629" i="4"/>
  <c r="G1290" i="4"/>
  <c r="I1290" i="4" s="1"/>
  <c r="I1291" i="4"/>
  <c r="G845" i="4"/>
  <c r="G179" i="4"/>
  <c r="I179" i="4" s="1"/>
  <c r="I180" i="4"/>
  <c r="G58" i="34"/>
  <c r="I58" i="34" s="1"/>
  <c r="I59" i="34"/>
  <c r="G1348" i="4"/>
  <c r="I1348" i="4" s="1"/>
  <c r="I1349" i="4"/>
  <c r="G680" i="4"/>
  <c r="I681" i="4"/>
  <c r="I772" i="4"/>
  <c r="G1009" i="4"/>
  <c r="I1009" i="4" s="1"/>
  <c r="I1010" i="4"/>
  <c r="F398" i="3"/>
  <c r="H399" i="3"/>
  <c r="F395" i="3"/>
  <c r="H396" i="3"/>
  <c r="G193" i="4"/>
  <c r="I194" i="4"/>
  <c r="G834" i="4"/>
  <c r="I834" i="4" s="1"/>
  <c r="I835" i="4"/>
  <c r="G42" i="6"/>
  <c r="I42" i="6" s="1"/>
  <c r="I43" i="6"/>
  <c r="G254" i="4"/>
  <c r="I254" i="4" s="1"/>
  <c r="I255" i="4"/>
  <c r="G19" i="6"/>
  <c r="I20" i="6"/>
  <c r="G33" i="4"/>
  <c r="I34" i="4"/>
  <c r="G13" i="6"/>
  <c r="I14" i="6"/>
  <c r="F126" i="3"/>
  <c r="H129" i="3"/>
  <c r="F1026" i="3"/>
  <c r="H1031" i="3"/>
  <c r="F179" i="3"/>
  <c r="H184" i="3"/>
  <c r="G1127" i="4"/>
  <c r="I1128" i="4"/>
  <c r="I598" i="4"/>
  <c r="G597" i="4"/>
  <c r="G579" i="4"/>
  <c r="I580" i="4"/>
  <c r="G32" i="6"/>
  <c r="I33" i="6"/>
  <c r="G267" i="4"/>
  <c r="I268" i="4"/>
  <c r="G761" i="4"/>
  <c r="I761" i="4" s="1"/>
  <c r="I762" i="4"/>
  <c r="G839" i="4"/>
  <c r="I839" i="4" s="1"/>
  <c r="I840" i="4"/>
  <c r="G26" i="6"/>
  <c r="I27" i="6"/>
  <c r="G38" i="6"/>
  <c r="I39" i="6"/>
  <c r="G1361" i="4"/>
  <c r="I1361" i="4" s="1"/>
  <c r="I1362" i="4"/>
  <c r="G63" i="4"/>
  <c r="I63" i="4" s="1"/>
  <c r="I64" i="4"/>
  <c r="G519" i="4"/>
  <c r="I519" i="4" s="1"/>
  <c r="I520" i="4"/>
  <c r="G592" i="4"/>
  <c r="I592" i="4" s="1"/>
  <c r="I593" i="4"/>
  <c r="G285" i="4"/>
  <c r="I285" i="4" s="1"/>
  <c r="I286" i="4"/>
  <c r="F1001" i="3"/>
  <c r="H1009" i="3"/>
  <c r="G39" i="4"/>
  <c r="I40" i="4"/>
  <c r="G1294" i="4"/>
  <c r="I1294" i="4" s="1"/>
  <c r="F915" i="3"/>
  <c r="H916" i="3"/>
  <c r="F490" i="3"/>
  <c r="H493" i="3"/>
  <c r="F209" i="3"/>
  <c r="H209" i="3" s="1"/>
  <c r="H210" i="3"/>
  <c r="F203" i="3"/>
  <c r="H206" i="3"/>
  <c r="G116" i="4"/>
  <c r="I116" i="4" s="1"/>
  <c r="I121" i="4"/>
  <c r="G498" i="4"/>
  <c r="I498" i="4" s="1"/>
  <c r="I499" i="4"/>
  <c r="G513" i="4"/>
  <c r="I513" i="4" s="1"/>
  <c r="I514" i="4"/>
  <c r="G226" i="4"/>
  <c r="I227" i="4"/>
  <c r="G468" i="4"/>
  <c r="I468" i="4" s="1"/>
  <c r="I472" i="4"/>
  <c r="G912" i="4"/>
  <c r="I916" i="4"/>
  <c r="G1097" i="4"/>
  <c r="I1101" i="4"/>
  <c r="G134" i="4"/>
  <c r="I134" i="4" s="1"/>
  <c r="I135" i="4"/>
  <c r="G692" i="4"/>
  <c r="I693" i="4"/>
  <c r="D11" i="2"/>
  <c r="F11" i="2" s="1"/>
  <c r="H11" i="3"/>
  <c r="F584" i="3"/>
  <c r="H587" i="3"/>
  <c r="F59" i="3"/>
  <c r="H60" i="3"/>
  <c r="G70" i="4"/>
  <c r="I70" i="4" s="1"/>
  <c r="I71" i="4"/>
  <c r="G300" i="4"/>
  <c r="I301" i="4"/>
  <c r="E56" i="2"/>
  <c r="G200" i="4"/>
  <c r="I200" i="4" s="1"/>
  <c r="I201" i="4"/>
  <c r="G1389" i="4"/>
  <c r="I1390" i="4"/>
  <c r="G1374" i="4"/>
  <c r="I1375" i="4"/>
  <c r="G1250" i="4"/>
  <c r="I1250" i="4" s="1"/>
  <c r="I1251" i="4"/>
  <c r="G1236" i="4"/>
  <c r="I1236" i="4" s="1"/>
  <c r="I1237" i="4"/>
  <c r="G1120" i="4"/>
  <c r="I1121" i="4"/>
  <c r="G944" i="4"/>
  <c r="I945" i="4"/>
  <c r="G712" i="4"/>
  <c r="I713" i="4"/>
  <c r="G539" i="4"/>
  <c r="I539" i="4" s="1"/>
  <c r="I345" i="4"/>
  <c r="G344" i="4"/>
  <c r="I238" i="4"/>
  <c r="G237" i="4"/>
  <c r="I166" i="4"/>
  <c r="G165" i="4"/>
  <c r="I165" i="4" s="1"/>
  <c r="G160" i="4"/>
  <c r="I161" i="4"/>
  <c r="G962" i="4"/>
  <c r="I962" i="4" s="1"/>
  <c r="G13" i="4"/>
  <c r="G1330" i="4"/>
  <c r="G1132" i="4"/>
  <c r="G362" i="4"/>
  <c r="I362" i="4" s="1"/>
  <c r="G1170" i="4"/>
  <c r="D43" i="2"/>
  <c r="F43" i="2" s="1"/>
  <c r="G1051" i="4"/>
  <c r="I1051" i="4" s="1"/>
  <c r="J767" i="5"/>
  <c r="G69" i="4"/>
  <c r="K80" i="1"/>
  <c r="O80" i="1" s="1"/>
  <c r="D22" i="2"/>
  <c r="F22" i="2" s="1"/>
  <c r="I13" i="4" l="1"/>
  <c r="G1429" i="4"/>
  <c r="G1169" i="4"/>
  <c r="I1169" i="4" s="1"/>
  <c r="I1170" i="4"/>
  <c r="I1132" i="4"/>
  <c r="G38" i="4"/>
  <c r="I38" i="4" s="1"/>
  <c r="I39" i="4"/>
  <c r="H1001" i="3"/>
  <c r="F1000" i="3"/>
  <c r="H1000" i="3" s="1"/>
  <c r="G37" i="6"/>
  <c r="I38" i="6"/>
  <c r="G25" i="6"/>
  <c r="I26" i="6"/>
  <c r="G266" i="4"/>
  <c r="I266" i="4" s="1"/>
  <c r="I267" i="4"/>
  <c r="G31" i="6"/>
  <c r="I32" i="6"/>
  <c r="G578" i="4"/>
  <c r="I578" i="4" s="1"/>
  <c r="I579" i="4"/>
  <c r="G1126" i="4"/>
  <c r="I1126" i="4" s="1"/>
  <c r="I1127" i="4"/>
  <c r="F175" i="3"/>
  <c r="H175" i="3" s="1"/>
  <c r="H179" i="3"/>
  <c r="H1026" i="3"/>
  <c r="F1022" i="3"/>
  <c r="F125" i="3"/>
  <c r="H126" i="3"/>
  <c r="G12" i="6"/>
  <c r="I13" i="6"/>
  <c r="G32" i="4"/>
  <c r="I33" i="4"/>
  <c r="G18" i="6"/>
  <c r="I19" i="6"/>
  <c r="G192" i="4"/>
  <c r="I193" i="4"/>
  <c r="F394" i="3"/>
  <c r="H395" i="3"/>
  <c r="F397" i="3"/>
  <c r="H397" i="3" s="1"/>
  <c r="H398" i="3"/>
  <c r="G771" i="4"/>
  <c r="I771" i="4" s="1"/>
  <c r="G679" i="4"/>
  <c r="I680" i="4"/>
  <c r="G1396" i="4"/>
  <c r="G1427" i="4" s="1"/>
  <c r="I1397" i="4"/>
  <c r="G272" i="4"/>
  <c r="I272" i="4" s="1"/>
  <c r="I273" i="4"/>
  <c r="G54" i="34"/>
  <c r="I55" i="34"/>
  <c r="G433" i="4"/>
  <c r="G38" i="5"/>
  <c r="I39" i="5"/>
  <c r="G638" i="4"/>
  <c r="I639" i="4"/>
  <c r="G1306" i="4"/>
  <c r="I1306" i="4" s="1"/>
  <c r="I1330" i="4"/>
  <c r="F583" i="3"/>
  <c r="H584" i="3"/>
  <c r="G691" i="4"/>
  <c r="I691" i="4" s="1"/>
  <c r="I692" i="4"/>
  <c r="I1097" i="4"/>
  <c r="G1096" i="4"/>
  <c r="I912" i="4"/>
  <c r="G911" i="4"/>
  <c r="I226" i="4"/>
  <c r="G225" i="4"/>
  <c r="H203" i="3"/>
  <c r="F196" i="3"/>
  <c r="F486" i="3"/>
  <c r="H490" i="3"/>
  <c r="F914" i="3"/>
  <c r="H915" i="3"/>
  <c r="G591" i="4"/>
  <c r="I597" i="4"/>
  <c r="I845" i="4"/>
  <c r="G844" i="4"/>
  <c r="I844" i="4" s="1"/>
  <c r="I628" i="4"/>
  <c r="G616" i="4"/>
  <c r="I411" i="4"/>
  <c r="G410" i="4"/>
  <c r="I561" i="4"/>
  <c r="G560" i="4"/>
  <c r="G143" i="4"/>
  <c r="I143" i="4" s="1"/>
  <c r="I144" i="4"/>
  <c r="I48" i="4"/>
  <c r="G47" i="4"/>
  <c r="G152" i="4"/>
  <c r="I152" i="4" s="1"/>
  <c r="I153" i="4"/>
  <c r="F974" i="3"/>
  <c r="H974" i="3" s="1"/>
  <c r="H975" i="3"/>
  <c r="F959" i="3"/>
  <c r="H959" i="3" s="1"/>
  <c r="H960" i="3"/>
  <c r="G696" i="5"/>
  <c r="I697" i="5"/>
  <c r="F311" i="3"/>
  <c r="H312" i="3"/>
  <c r="F815" i="3"/>
  <c r="H816" i="3"/>
  <c r="G246" i="4"/>
  <c r="I246" i="4" s="1"/>
  <c r="G989" i="5"/>
  <c r="I990" i="5"/>
  <c r="G600" i="5"/>
  <c r="I612" i="5"/>
  <c r="G1150" i="4"/>
  <c r="I1150" i="4" s="1"/>
  <c r="I1151" i="4"/>
  <c r="H59" i="3"/>
  <c r="F58" i="3"/>
  <c r="I300" i="4"/>
  <c r="G299" i="4"/>
  <c r="G1388" i="4"/>
  <c r="I1389" i="4"/>
  <c r="I1374" i="4"/>
  <c r="G1373" i="4"/>
  <c r="G1241" i="4"/>
  <c r="I1241" i="4" s="1"/>
  <c r="G1119" i="4"/>
  <c r="I1120" i="4"/>
  <c r="I944" i="4"/>
  <c r="G943" i="4"/>
  <c r="I712" i="4"/>
  <c r="G711" i="4"/>
  <c r="G343" i="4"/>
  <c r="I344" i="4"/>
  <c r="I237" i="4"/>
  <c r="G236" i="4"/>
  <c r="I160" i="4"/>
  <c r="G151" i="4"/>
  <c r="I151" i="4" s="1"/>
  <c r="G68" i="4"/>
  <c r="I69" i="4"/>
  <c r="G12" i="4"/>
  <c r="G265" i="4"/>
  <c r="I265" i="4" s="1"/>
  <c r="G961" i="4"/>
  <c r="I961" i="4" s="1"/>
  <c r="D57" i="2"/>
  <c r="I68" i="4" l="1"/>
  <c r="G1428" i="4"/>
  <c r="I32" i="4"/>
  <c r="G1430" i="4"/>
  <c r="G1149" i="4"/>
  <c r="I1149" i="4" s="1"/>
  <c r="G11" i="4"/>
  <c r="I11" i="4" s="1"/>
  <c r="I12" i="4"/>
  <c r="G599" i="5"/>
  <c r="I600" i="5"/>
  <c r="G988" i="5"/>
  <c r="I989" i="5"/>
  <c r="G46" i="4"/>
  <c r="I47" i="4"/>
  <c r="I560" i="4"/>
  <c r="G538" i="4"/>
  <c r="I538" i="4" s="1"/>
  <c r="G409" i="4"/>
  <c r="I410" i="4"/>
  <c r="G615" i="4"/>
  <c r="I616" i="4"/>
  <c r="F174" i="3"/>
  <c r="H196" i="3"/>
  <c r="I225" i="4"/>
  <c r="G199" i="4"/>
  <c r="I911" i="4"/>
  <c r="G884" i="4"/>
  <c r="G1095" i="4"/>
  <c r="G1431" i="4" s="1"/>
  <c r="I1096" i="4"/>
  <c r="G432" i="4"/>
  <c r="I433" i="4"/>
  <c r="G53" i="34"/>
  <c r="I53" i="34" s="1"/>
  <c r="I54" i="34"/>
  <c r="G1395" i="4"/>
  <c r="I1396" i="4"/>
  <c r="I679" i="4"/>
  <c r="G659" i="4"/>
  <c r="F1021" i="3"/>
  <c r="H1022" i="3"/>
  <c r="H815" i="3"/>
  <c r="F814" i="3"/>
  <c r="F310" i="3"/>
  <c r="H311" i="3"/>
  <c r="G695" i="5"/>
  <c r="I695" i="5" s="1"/>
  <c r="I696" i="5"/>
  <c r="G590" i="4"/>
  <c r="I591" i="4"/>
  <c r="H914" i="3"/>
  <c r="F894" i="3"/>
  <c r="H486" i="3"/>
  <c r="F485" i="3"/>
  <c r="H583" i="3"/>
  <c r="F565" i="3"/>
  <c r="G637" i="4"/>
  <c r="I637" i="4" s="1"/>
  <c r="I638" i="4"/>
  <c r="I38" i="5"/>
  <c r="G37" i="5"/>
  <c r="H394" i="3"/>
  <c r="F388" i="3"/>
  <c r="G191" i="4"/>
  <c r="I191" i="4" s="1"/>
  <c r="I192" i="4"/>
  <c r="I18" i="6"/>
  <c r="G48" i="6"/>
  <c r="I48" i="6" s="1"/>
  <c r="I12" i="6"/>
  <c r="G17" i="6"/>
  <c r="I17" i="6" s="1"/>
  <c r="H125" i="3"/>
  <c r="F124" i="3"/>
  <c r="G30" i="6"/>
  <c r="I30" i="6" s="1"/>
  <c r="I31" i="6"/>
  <c r="G24" i="6"/>
  <c r="I24" i="6" s="1"/>
  <c r="I25" i="6"/>
  <c r="G36" i="6"/>
  <c r="I36" i="6" s="1"/>
  <c r="I37" i="6"/>
  <c r="G1125" i="4"/>
  <c r="I1125" i="4" s="1"/>
  <c r="G45" i="4"/>
  <c r="I45" i="4" s="1"/>
  <c r="F57" i="3"/>
  <c r="H58" i="3"/>
  <c r="G298" i="4"/>
  <c r="I299" i="4"/>
  <c r="G1387" i="4"/>
  <c r="I1388" i="4"/>
  <c r="D32" i="2"/>
  <c r="F32" i="2" s="1"/>
  <c r="I1373" i="4"/>
  <c r="G1372" i="4"/>
  <c r="I1372" i="4" s="1"/>
  <c r="I1119" i="4"/>
  <c r="G1118" i="4"/>
  <c r="I1118" i="4" s="1"/>
  <c r="G942" i="4"/>
  <c r="I942" i="4" s="1"/>
  <c r="I943" i="4"/>
  <c r="G710" i="4"/>
  <c r="I710" i="4" s="1"/>
  <c r="I711" i="4"/>
  <c r="G342" i="4"/>
  <c r="I343" i="4"/>
  <c r="I236" i="4"/>
  <c r="G235" i="4"/>
  <c r="I235" i="4" s="1"/>
  <c r="G941" i="4"/>
  <c r="I941" i="4" s="1"/>
  <c r="K765" i="5"/>
  <c r="I46" i="4" l="1"/>
  <c r="G1426" i="4"/>
  <c r="I298" i="4"/>
  <c r="G1425" i="4"/>
  <c r="G589" i="4"/>
  <c r="I589" i="4" s="1"/>
  <c r="I590" i="4"/>
  <c r="H310" i="3"/>
  <c r="F284" i="3"/>
  <c r="H1021" i="3"/>
  <c r="F999" i="3"/>
  <c r="G1394" i="4"/>
  <c r="I1394" i="4" s="1"/>
  <c r="I1395" i="4"/>
  <c r="I432" i="4"/>
  <c r="G431" i="4"/>
  <c r="I431" i="4" s="1"/>
  <c r="G1094" i="4"/>
  <c r="I1094" i="4" s="1"/>
  <c r="I1095" i="4"/>
  <c r="F173" i="3"/>
  <c r="H173" i="3" s="1"/>
  <c r="H174" i="3"/>
  <c r="G614" i="4"/>
  <c r="I614" i="4" s="1"/>
  <c r="I615" i="4"/>
  <c r="I409" i="4"/>
  <c r="G408" i="4"/>
  <c r="G987" i="5"/>
  <c r="I988" i="5"/>
  <c r="G585" i="5"/>
  <c r="I599" i="5"/>
  <c r="F123" i="3"/>
  <c r="H124" i="3"/>
  <c r="F387" i="3"/>
  <c r="H388" i="3"/>
  <c r="G36" i="5"/>
  <c r="I37" i="5"/>
  <c r="F541" i="3"/>
  <c r="H565" i="3"/>
  <c r="H485" i="3"/>
  <c r="F476" i="3"/>
  <c r="F893" i="3"/>
  <c r="H894" i="3"/>
  <c r="H814" i="3"/>
  <c r="F813" i="3"/>
  <c r="G658" i="4"/>
  <c r="I658" i="4" s="1"/>
  <c r="I659" i="4"/>
  <c r="G878" i="4"/>
  <c r="I884" i="4"/>
  <c r="G198" i="4"/>
  <c r="I198" i="4" s="1"/>
  <c r="I199" i="4"/>
  <c r="H57" i="3"/>
  <c r="D13" i="2"/>
  <c r="F10" i="3"/>
  <c r="H10" i="3" s="1"/>
  <c r="G1386" i="4"/>
  <c r="I1386" i="4" s="1"/>
  <c r="I1387" i="4"/>
  <c r="G1093" i="4"/>
  <c r="I1093" i="4" s="1"/>
  <c r="G341" i="4"/>
  <c r="I342" i="4"/>
  <c r="G44" i="4"/>
  <c r="I44" i="4" s="1"/>
  <c r="G479" i="5"/>
  <c r="G877" i="4" l="1"/>
  <c r="I877" i="4" s="1"/>
  <c r="I878" i="4"/>
  <c r="G478" i="5"/>
  <c r="I478" i="5" s="1"/>
  <c r="I479" i="5"/>
  <c r="F812" i="3"/>
  <c r="H813" i="3"/>
  <c r="D30" i="2"/>
  <c r="F30" i="2" s="1"/>
  <c r="H476" i="3"/>
  <c r="I408" i="4"/>
  <c r="G361" i="4"/>
  <c r="I361" i="4" s="1"/>
  <c r="D42" i="2"/>
  <c r="H999" i="3"/>
  <c r="H284" i="3"/>
  <c r="D21" i="2"/>
  <c r="F283" i="3"/>
  <c r="H283" i="3" s="1"/>
  <c r="H893" i="3"/>
  <c r="D41" i="2"/>
  <c r="F41" i="2" s="1"/>
  <c r="F892" i="3"/>
  <c r="H892" i="3" s="1"/>
  <c r="D31" i="2"/>
  <c r="F31" i="2" s="1"/>
  <c r="H541" i="3"/>
  <c r="G35" i="5"/>
  <c r="I36" i="5"/>
  <c r="F386" i="3"/>
  <c r="H387" i="3"/>
  <c r="D14" i="2"/>
  <c r="F14" i="2" s="1"/>
  <c r="H123" i="3"/>
  <c r="G512" i="5"/>
  <c r="I512" i="5" s="1"/>
  <c r="I585" i="5"/>
  <c r="G920" i="5"/>
  <c r="I920" i="5" s="1"/>
  <c r="I987" i="5"/>
  <c r="D17" i="2"/>
  <c r="F17" i="2" s="1"/>
  <c r="F13" i="2"/>
  <c r="I341" i="4"/>
  <c r="G297" i="4"/>
  <c r="I297" i="4" s="1"/>
  <c r="G477" i="5"/>
  <c r="F644" i="3"/>
  <c r="G289" i="5"/>
  <c r="G216" i="34"/>
  <c r="G751" i="4"/>
  <c r="D10" i="2" l="1"/>
  <c r="F10" i="2" s="1"/>
  <c r="G750" i="4"/>
  <c r="I751" i="4"/>
  <c r="G476" i="5"/>
  <c r="I477" i="5"/>
  <c r="G215" i="34"/>
  <c r="I216" i="34"/>
  <c r="F643" i="3"/>
  <c r="H644" i="3"/>
  <c r="F21" i="2"/>
  <c r="D20" i="2"/>
  <c r="F20" i="2" s="1"/>
  <c r="G288" i="5"/>
  <c r="I289" i="5"/>
  <c r="D28" i="2"/>
  <c r="H386" i="3"/>
  <c r="F385" i="3"/>
  <c r="H385" i="3" s="1"/>
  <c r="G34" i="5"/>
  <c r="I34" i="5" s="1"/>
  <c r="I35" i="5"/>
  <c r="D40" i="2"/>
  <c r="F40" i="2" s="1"/>
  <c r="F42" i="2"/>
  <c r="D38" i="2"/>
  <c r="F38" i="2" s="1"/>
  <c r="H812" i="3"/>
  <c r="G290" i="5"/>
  <c r="I290" i="5" s="1"/>
  <c r="G217" i="34"/>
  <c r="I217" i="34" s="1"/>
  <c r="F28" i="2" l="1"/>
  <c r="D27" i="2"/>
  <c r="F27" i="2" s="1"/>
  <c r="G287" i="5"/>
  <c r="I288" i="5"/>
  <c r="F642" i="3"/>
  <c r="F635" i="3" s="1"/>
  <c r="H643" i="3"/>
  <c r="G214" i="34"/>
  <c r="I215" i="34"/>
  <c r="G407" i="5"/>
  <c r="I407" i="5" s="1"/>
  <c r="I476" i="5"/>
  <c r="G743" i="4"/>
  <c r="I750" i="4"/>
  <c r="G724" i="4" l="1"/>
  <c r="I743" i="4"/>
  <c r="G205" i="34"/>
  <c r="I214" i="34"/>
  <c r="H642" i="3"/>
  <c r="G278" i="5"/>
  <c r="I287" i="5"/>
  <c r="F616" i="3" l="1"/>
  <c r="H635" i="3"/>
  <c r="G204" i="34"/>
  <c r="I205" i="34"/>
  <c r="I278" i="5"/>
  <c r="G277" i="5"/>
  <c r="I724" i="4"/>
  <c r="G723" i="4"/>
  <c r="G203" i="34" l="1"/>
  <c r="I204" i="34"/>
  <c r="G722" i="4"/>
  <c r="I723" i="4"/>
  <c r="G276" i="5"/>
  <c r="I277" i="5"/>
  <c r="F615" i="3"/>
  <c r="H616" i="3"/>
  <c r="H615" i="3" l="1"/>
  <c r="F614" i="3"/>
  <c r="D35" i="2"/>
  <c r="G178" i="5"/>
  <c r="I276" i="5"/>
  <c r="I722" i="4"/>
  <c r="G709" i="4"/>
  <c r="G115" i="34"/>
  <c r="I203" i="34"/>
  <c r="G375" i="34" l="1"/>
  <c r="I375" i="34" s="1"/>
  <c r="I115" i="34"/>
  <c r="G1101" i="5"/>
  <c r="I178" i="5"/>
  <c r="F1275" i="3"/>
  <c r="H1275" i="3" s="1"/>
  <c r="H614" i="3"/>
  <c r="I709" i="4"/>
  <c r="G1420" i="4"/>
  <c r="D34" i="2"/>
  <c r="F35" i="2"/>
  <c r="D54" i="2" l="1"/>
  <c r="F34" i="2"/>
  <c r="G1103" i="5"/>
  <c r="I1101" i="5"/>
  <c r="C18" i="7"/>
  <c r="C19" i="7" s="1"/>
  <c r="C13" i="7" s="1"/>
  <c r="I1420" i="4"/>
  <c r="D55" i="2"/>
  <c r="D56" i="2" l="1"/>
  <c r="C14" i="7"/>
  <c r="E14" i="7" s="1"/>
  <c r="C12" i="7"/>
  <c r="F55" i="2"/>
  <c r="E18" i="7"/>
  <c r="E19" i="7" s="1"/>
  <c r="D58" i="2"/>
  <c r="F54" i="2"/>
  <c r="F58" i="2" s="1"/>
  <c r="C9" i="7" l="1"/>
  <c r="F56" i="2"/>
</calcChain>
</file>

<file path=xl/comments1.xml><?xml version="1.0" encoding="utf-8"?>
<comments xmlns="http://schemas.openxmlformats.org/spreadsheetml/2006/main">
  <authors>
    <author>Автор</author>
  </authors>
  <commentList>
    <comment ref="G93" authorId="0">
      <text>
        <r>
          <rPr>
            <b/>
            <sz val="11"/>
            <color indexed="81"/>
            <rFont val="Tahoma"/>
            <family val="2"/>
            <charset val="204"/>
          </rPr>
          <t>1 305 270,96- ИМБТ на поощрение (грант) округу - Уведомление ЛБО не доводилось в Кристе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<sst xmlns="http://schemas.openxmlformats.org/spreadsheetml/2006/main" count="19029" uniqueCount="1164">
  <si>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</si>
  <si>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</si>
  <si>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</si>
  <si>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</si>
  <si>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</si>
  <si>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</si>
  <si>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</si>
  <si>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</si>
  <si>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</si>
  <si>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</si>
  <si>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</si>
  <si>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</si>
  <si>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</si>
  <si>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</si>
  <si>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</si>
  <si>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</si>
  <si>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</si>
  <si>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</si>
  <si>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</si>
  <si>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</si>
  <si>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</si>
  <si>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</si>
  <si>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</si>
  <si>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</si>
  <si>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</si>
  <si>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</si>
  <si>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</si>
  <si>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</si>
  <si>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</si>
  <si>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</si>
  <si>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</si>
  <si>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</si>
  <si>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</si>
  <si>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</si>
  <si>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</si>
  <si>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</si>
  <si>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</si>
  <si>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</si>
  <si>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</si>
  <si>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</si>
  <si>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</si>
  <si>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</si>
  <si>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</si>
  <si>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</si>
  <si>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</si>
  <si>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</si>
  <si>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</si>
  <si>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</si>
  <si>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</si>
  <si>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</si>
  <si>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</si>
  <si>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</si>
  <si>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</si>
  <si>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</si>
  <si>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</si>
  <si>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</si>
  <si>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</si>
  <si>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</si>
  <si>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</si>
  <si>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</si>
  <si>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</si>
  <si>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</si>
  <si>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</si>
  <si>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</si>
  <si>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</si>
  <si>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</si>
  <si>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</si>
  <si>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</si>
  <si>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</si>
  <si>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</si>
  <si>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</si>
  <si>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Иные межбюджетные трансферты</t>
  </si>
  <si>
    <t>ВСЕГО ДОХОДОВ:</t>
  </si>
  <si>
    <t>Приложение № 5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</si>
  <si>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</si>
  <si>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</si>
  <si>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</si>
  <si>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</si>
  <si>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</si>
  <si>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</si>
  <si>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</si>
  <si>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</si>
  <si>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</si>
  <si>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</si>
  <si>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</si>
  <si>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</si>
  <si>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</si>
  <si>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</si>
  <si>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</si>
  <si>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</si>
  <si>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</si>
  <si>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</si>
  <si>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</si>
  <si>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</si>
  <si>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850</t>
  </si>
  <si>
    <t>Другие общегосударственные вопросы</t>
  </si>
  <si>
    <t>13</t>
  </si>
  <si>
    <t>Прочие непрограммные мероприятия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</si>
  <si>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</si>
  <si>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</si>
  <si>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</si>
  <si>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</si>
  <si>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</si>
  <si>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</si>
  <si>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53 0 00 00000</t>
  </si>
  <si>
    <t>810</t>
  </si>
  <si>
    <t>54 0 00 00000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</si>
  <si>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</si>
  <si>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Мероприятия по профилактике злоупотребления наркотическими средствами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</si>
  <si>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</si>
  <si>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</si>
  <si>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</si>
  <si>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Подготовка участников резерва управленческих кадров Магаданской области из числа муниципальных служащих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</si>
  <si>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</si>
  <si>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</si>
  <si>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</si>
  <si>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Расходы на выплату персоналу казенных учреждений</t>
  </si>
  <si>
    <t>110</t>
  </si>
  <si>
    <t>Национальная оборона</t>
  </si>
  <si>
    <t>02</t>
  </si>
  <si>
    <t>03</t>
  </si>
  <si>
    <t>Другие вопросы в области национальной обороны</t>
  </si>
  <si>
    <t>09</t>
  </si>
  <si>
    <t>Мероприятия в области национальной обороны</t>
  </si>
  <si>
    <t>Национальная безопасность и правоохранительная деятельность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</si>
  <si>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</si>
  <si>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</si>
  <si>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</si>
  <si>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</si>
  <si>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</si>
  <si>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</si>
  <si>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Другие вопросы в области национальной экономики</t>
  </si>
  <si>
    <t>12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</si>
  <si>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</si>
  <si>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</si>
  <si>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</si>
  <si>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</si>
  <si>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</si>
  <si>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</si>
  <si>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</si>
  <si>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</si>
  <si>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</si>
  <si>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</si>
  <si>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</si>
  <si>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Образование</t>
  </si>
  <si>
    <t>07</t>
  </si>
  <si>
    <t>Дополнительное образование детей</t>
  </si>
  <si>
    <t>58 0 00 00000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</si>
  <si>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</si>
  <si>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</si>
  <si>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</si>
  <si>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</si>
  <si>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</si>
  <si>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</si>
  <si>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</si>
  <si>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</si>
  <si>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Целевые субсидии муниципальным учреждениям на приобретение жилья работникам учреждения</t>
  </si>
  <si>
    <t>Другие вопросы в области образования</t>
  </si>
  <si>
    <t>Культура, кинематография</t>
  </si>
  <si>
    <t>08</t>
  </si>
  <si>
    <t>Культура</t>
  </si>
  <si>
    <t>Субсидии муниципальным учреждениям культуры на выполнение муниципального задания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</si>
  <si>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</si>
  <si>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</si>
  <si>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Другие вопросы в области культуры, кинематографии</t>
  </si>
  <si>
    <t>63 0 00 00000</t>
  </si>
  <si>
    <t>Адаптация муниципальных учреждений для доступности инвалидам и МГН</t>
  </si>
  <si>
    <t>Обеспечение  новогодними подарками детей-инвалидов</t>
  </si>
  <si>
    <t>Расходы на выплаты персоналу казенных учреждений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</si>
  <si>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</si>
  <si>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</si>
  <si>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</si>
  <si>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</si>
  <si>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</si>
  <si>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</si>
  <si>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</si>
  <si>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>51 3 00 00000</t>
  </si>
  <si>
    <t>51 4 00 00000</t>
  </si>
  <si>
    <t>51 5 00 00000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</si>
  <si>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</si>
  <si>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</si>
  <si>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</si>
  <si>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 xml:space="preserve">Поддержка преподавания этнических языков (корякский, эвенский, юкагирский и якутский) 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</si>
  <si>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</si>
  <si>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</si>
  <si>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Жилищное хозяйство</t>
  </si>
  <si>
    <t>Взносы на капитальный ремонт муниципального жилищного фонда</t>
  </si>
  <si>
    <t>Охрана семьи и детства</t>
  </si>
  <si>
    <t>Дошкольное образование</t>
  </si>
  <si>
    <t>52 0 00 00000</t>
  </si>
  <si>
    <t>Общее образование</t>
  </si>
  <si>
    <t>Субсидии муниципальным учреждениям общего образования на выполнение муниципального задания</t>
  </si>
  <si>
    <t>Целевые субсидии муниципальным учреждениям  на проведение физкультурно-спортивных мероприятий</t>
  </si>
  <si>
    <t>Молодежная политика и оздоровление детей</t>
  </si>
  <si>
    <t>Прочие мероприятия в области образования</t>
  </si>
  <si>
    <t>57 0 00 00000</t>
  </si>
  <si>
    <t>Физическая культура и спорт</t>
  </si>
  <si>
    <t>11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</si>
  <si>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</si>
  <si>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</si>
  <si>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Другие вопросы в области физической культуры и спорта</t>
  </si>
  <si>
    <t>Транспорт</t>
  </si>
  <si>
    <t>Мероприятия в области автомобильного транспорта</t>
  </si>
  <si>
    <t>Дорожное хозяйство (дорожные фонды)</t>
  </si>
  <si>
    <t>50 0 00 00000</t>
  </si>
  <si>
    <t>Содержание автомобильных дорог</t>
  </si>
  <si>
    <t>Мероприятия в области жилищного хозяйства</t>
  </si>
  <si>
    <t>Коммунальное хозяйство</t>
  </si>
  <si>
    <t>62 0 00 00000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</si>
  <si>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</si>
  <si>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</si>
  <si>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</si>
  <si>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</si>
  <si>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</si>
  <si>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</si>
  <si>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Мероприятия в области коммунального хозяйства</t>
  </si>
  <si>
    <t>Благоустройство</t>
  </si>
  <si>
    <t>60 0 00 00000</t>
  </si>
  <si>
    <t xml:space="preserve">Прочие мероприятия в области  благоустройства </t>
  </si>
  <si>
    <t>Благоустройство в дворовых территориях</t>
  </si>
  <si>
    <t>Озеленение</t>
  </si>
  <si>
    <t>Санация территории от безнадзорных животных</t>
  </si>
  <si>
    <t>Содержание мест захоронения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</si>
  <si>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</si>
  <si>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</si>
  <si>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</si>
  <si>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Организация ритуальных услуг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</si>
  <si>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</si>
  <si>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</si>
  <si>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</si>
  <si>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</si>
  <si>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Периодическая печать и издательства</t>
  </si>
  <si>
    <t>ВСЕГО РАСХОДЫ</t>
  </si>
  <si>
    <t>м/б</t>
  </si>
  <si>
    <t>Наименование</t>
  </si>
  <si>
    <t>Управление  ЖКХ и градостроительства администрации Омсукчанского городского округа</t>
  </si>
  <si>
    <t>908</t>
  </si>
  <si>
    <t>903</t>
  </si>
  <si>
    <t>906</t>
  </si>
  <si>
    <t>902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</si>
  <si>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</si>
  <si>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</si>
  <si>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</si>
  <si>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</si>
  <si>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</si>
  <si>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</si>
  <si>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</si>
  <si>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</si>
  <si>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901 01 05 02 01 00 0000 600</t>
  </si>
  <si>
    <t>Уменьшение прочих остатков средств бюджетов</t>
  </si>
  <si>
    <t>доходы</t>
  </si>
  <si>
    <t>расходы</t>
  </si>
  <si>
    <t>дефицит</t>
  </si>
  <si>
    <t>РЗ</t>
  </si>
  <si>
    <t>ПР</t>
  </si>
  <si>
    <t>Всего расходов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</si>
  <si>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</si>
  <si>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</si>
  <si>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Уплата налогов, сборов и иных платежей</t>
  </si>
  <si>
    <t>64 0 00 00000</t>
  </si>
  <si>
    <t>65 0 00 00000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</si>
  <si>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</si>
  <si>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</si>
  <si>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</si>
  <si>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</si>
  <si>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</si>
  <si>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</si>
  <si>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</si>
  <si>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</si>
  <si>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</si>
  <si>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 xml:space="preserve">05 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</si>
  <si>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</si>
  <si>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</si>
  <si>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</si>
  <si>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</si>
  <si>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Прочие безвозмездные поступления</t>
  </si>
  <si>
    <t>Целевые субсидии муниципальным учреждениям на оплату контейнера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</si>
  <si>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</si>
  <si>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</si>
  <si>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</si>
  <si>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</si>
  <si>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</si>
  <si>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</si>
  <si>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</si>
  <si>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2 02 40000 00 0000 150</t>
  </si>
  <si>
    <t>2 02 35930 00 0000 150</t>
  </si>
  <si>
    <t>2 02 30024 00 0000 150</t>
  </si>
  <si>
    <t>2 02 30000 00 0000 150</t>
  </si>
  <si>
    <t>2 02 20000 00 0000 150</t>
  </si>
  <si>
    <t>2 02 10000 00 0000 150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</si>
  <si>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</si>
  <si>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</si>
  <si>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</si>
  <si>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</si>
  <si>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</si>
  <si>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</si>
  <si>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</si>
  <si>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Реализация мероприятий по обеспечению жильем молодых семей</t>
  </si>
  <si>
    <t>Мероприятия по модернизации и реконструкции объектов инженерной и коммунальной инфраструктуры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</si>
  <si>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</si>
  <si>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</si>
  <si>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</si>
  <si>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</si>
  <si>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</si>
  <si>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</si>
  <si>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</si>
  <si>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</si>
  <si>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</si>
  <si>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 xml:space="preserve">54 0 03 S3270 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</si>
  <si>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</si>
  <si>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</si>
  <si>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</si>
  <si>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</si>
  <si>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</si>
  <si>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</si>
  <si>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</si>
  <si>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</si>
  <si>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</si>
  <si>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</si>
  <si>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</si>
  <si>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</si>
  <si>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</si>
  <si>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</si>
  <si>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</si>
  <si>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</si>
  <si>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</si>
  <si>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</si>
  <si>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</si>
  <si>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</si>
  <si>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</si>
  <si>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Иные непрограммные мероприятия в рамках непрограммной деятельности</t>
  </si>
  <si>
    <t>02 0 02 01320</t>
  </si>
  <si>
    <t>02 0 02 01080</t>
  </si>
  <si>
    <t>02 0 02 01250</t>
  </si>
  <si>
    <t>61 0 01 00000</t>
  </si>
  <si>
    <t>Поддержка социальных магазинов</t>
  </si>
  <si>
    <t>61 0 02 00000</t>
  </si>
  <si>
    <t>02 0 02 01120</t>
  </si>
  <si>
    <t>Осуществление государственных полномочий органами местного самоуправления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</si>
  <si>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</si>
  <si>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</si>
  <si>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</si>
  <si>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</si>
  <si>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</si>
  <si>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</si>
  <si>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</si>
  <si>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</si>
  <si>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</si>
  <si>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</si>
  <si>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</si>
  <si>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</si>
  <si>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</si>
  <si>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</si>
  <si>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</si>
  <si>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</si>
  <si>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</si>
  <si>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</si>
  <si>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</si>
  <si>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</si>
  <si>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</si>
  <si>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</si>
  <si>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</si>
  <si>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</si>
  <si>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</si>
  <si>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</si>
  <si>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</si>
  <si>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</si>
  <si>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01 0 03 74040</t>
  </si>
  <si>
    <t>01 0 03 74090</t>
  </si>
  <si>
    <t xml:space="preserve">Прочие непрограммные мероприятия 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</si>
  <si>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</si>
  <si>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</si>
  <si>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</si>
  <si>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</si>
  <si>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</si>
  <si>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</si>
  <si>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</si>
  <si>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</si>
  <si>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</si>
  <si>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</si>
  <si>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</si>
  <si>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</si>
  <si>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</si>
  <si>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</si>
  <si>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</si>
  <si>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</si>
  <si>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</si>
  <si>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</si>
  <si>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</si>
  <si>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</si>
  <si>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</si>
  <si>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</si>
  <si>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</si>
  <si>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</si>
  <si>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</si>
  <si>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</si>
  <si>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</si>
  <si>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</si>
  <si>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</si>
  <si>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</si>
  <si>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</si>
  <si>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</si>
  <si>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</si>
  <si>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</si>
  <si>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</si>
  <si>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</si>
  <si>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</si>
  <si>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</si>
  <si>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</si>
  <si>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</si>
  <si>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</si>
  <si>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</si>
  <si>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</si>
  <si>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</si>
  <si>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</si>
  <si>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</si>
  <si>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</si>
  <si>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</si>
  <si>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</si>
  <si>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01 0 01 01790</t>
  </si>
  <si>
    <t>Расходы на обеспечение деятельности муниципальных служащих</t>
  </si>
  <si>
    <t>01 0 01 01030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</si>
  <si>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</si>
  <si>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</si>
  <si>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</si>
  <si>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</si>
  <si>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</si>
  <si>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</si>
  <si>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</si>
  <si>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</si>
  <si>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</si>
  <si>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</si>
  <si>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</si>
  <si>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</si>
  <si>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</si>
  <si>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</si>
  <si>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</si>
  <si>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</si>
  <si>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</si>
  <si>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</si>
  <si>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</si>
  <si>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</si>
  <si>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</si>
  <si>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</si>
  <si>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</si>
  <si>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</si>
  <si>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</si>
  <si>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</si>
  <si>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</si>
  <si>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</si>
  <si>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</si>
  <si>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</si>
  <si>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</si>
  <si>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</si>
  <si>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</si>
  <si>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</si>
  <si>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</si>
  <si>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</si>
  <si>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</si>
  <si>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</si>
  <si>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</si>
  <si>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</si>
  <si>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</si>
  <si>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</si>
  <si>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</si>
  <si>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</si>
  <si>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</si>
  <si>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Основное мероприятие "Улучшение условий проживания семей коренных малочисленных народов Севера"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</si>
  <si>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</si>
  <si>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</si>
  <si>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</si>
  <si>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</si>
  <si>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</si>
  <si>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</si>
  <si>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</si>
  <si>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</si>
  <si>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</si>
  <si>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</si>
  <si>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</si>
  <si>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</si>
  <si>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</si>
  <si>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</si>
  <si>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</si>
  <si>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</si>
  <si>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</si>
  <si>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</si>
  <si>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</si>
  <si>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</si>
  <si>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</si>
  <si>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</si>
  <si>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02 0 02 01110</t>
  </si>
  <si>
    <t>67 0 01 00000</t>
  </si>
  <si>
    <t>Физическая культура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</si>
  <si>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</si>
  <si>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</si>
  <si>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Социальная политики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</si>
  <si>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</si>
  <si>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</si>
  <si>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</si>
  <si>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</si>
  <si>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</si>
  <si>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</si>
  <si>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</si>
  <si>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</si>
  <si>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</si>
  <si>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</si>
  <si>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</si>
  <si>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</si>
  <si>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</si>
  <si>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</si>
  <si>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</si>
  <si>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</si>
  <si>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</si>
  <si>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</si>
  <si>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</si>
  <si>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</si>
  <si>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</si>
  <si>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</si>
  <si>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</si>
  <si>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</si>
  <si>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</si>
  <si>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</si>
  <si>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</si>
  <si>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</si>
  <si>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</si>
  <si>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</si>
  <si>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</si>
  <si>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 xml:space="preserve">Прочие субсидии </t>
  </si>
  <si>
    <t>2 02 29999 00 0000 150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</si>
  <si>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</si>
  <si>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</si>
  <si>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</si>
  <si>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</si>
  <si>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</si>
  <si>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</si>
  <si>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</si>
  <si>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Резервные средства</t>
  </si>
  <si>
    <t>02 0 02 99999</t>
  </si>
  <si>
    <t>870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</si>
  <si>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</si>
  <si>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</si>
  <si>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</si>
  <si>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</si>
  <si>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</si>
  <si>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</si>
  <si>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</si>
  <si>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2 02 25519 00 0000 150</t>
  </si>
  <si>
    <t>Субсидия бюджетам  на поддержку отрасли культуры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</si>
  <si>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</si>
  <si>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</si>
  <si>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</si>
  <si>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"Формирование  у обучающихся современных технологических и гуманитарных навыков"</t>
  </si>
  <si>
    <t>Государственная поддержка отрасли культуры</t>
  </si>
  <si>
    <t>330</t>
  </si>
  <si>
    <t>Публичные нормативные выплаты гражданам несоциального характера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</si>
  <si>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</si>
  <si>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</si>
  <si>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</si>
  <si>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</si>
  <si>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</si>
  <si>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</si>
  <si>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</si>
  <si>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</si>
  <si>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</si>
  <si>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</si>
  <si>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</si>
  <si>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</si>
  <si>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</si>
  <si>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A1 00000</t>
  </si>
  <si>
    <t>58 0 05 00000</t>
  </si>
  <si>
    <t>58 0 05 01740</t>
  </si>
  <si>
    <t>58 0 06 00000</t>
  </si>
  <si>
    <t>58 0 06 S3160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</si>
  <si>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</si>
  <si>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</si>
  <si>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</si>
  <si>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</si>
  <si>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</si>
  <si>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</si>
  <si>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</si>
  <si>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</si>
  <si>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</si>
  <si>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</si>
  <si>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</si>
  <si>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</si>
  <si>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</si>
  <si>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</si>
  <si>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</si>
  <si>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</si>
  <si>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</si>
  <si>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</si>
  <si>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</si>
  <si>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</si>
  <si>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10 S3420</t>
  </si>
  <si>
    <t>52 0 01 12000</t>
  </si>
  <si>
    <t>Основное мероприятие "Развитие образовательных  учреждений"</t>
  </si>
  <si>
    <t>52 0 03 20060</t>
  </si>
  <si>
    <t>52 0 05 20070</t>
  </si>
  <si>
    <t>52 0 01 13000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</si>
  <si>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</si>
  <si>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</si>
  <si>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</si>
  <si>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</si>
  <si>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</si>
  <si>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</si>
  <si>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</si>
  <si>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57 0 05 00000</t>
  </si>
  <si>
    <t>57 0 05 01910</t>
  </si>
  <si>
    <t>60 0 02 00000</t>
  </si>
  <si>
    <t>60 0 02 01410</t>
  </si>
  <si>
    <t>60 0 02 01420</t>
  </si>
  <si>
    <t>60 0 02 01430</t>
  </si>
  <si>
    <t>60 0 02 01770</t>
  </si>
  <si>
    <t>01 13</t>
  </si>
  <si>
    <t>08 01</t>
  </si>
  <si>
    <t>10 03</t>
  </si>
  <si>
    <t>58 0 04 74110</t>
  </si>
  <si>
    <t>Основное мероприятие "Развитие образовательных учреждений"</t>
  </si>
  <si>
    <t>60 0 03 74190</t>
  </si>
  <si>
    <t>60 0 03 00000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</si>
  <si>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</si>
  <si>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</si>
  <si>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</si>
  <si>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</si>
  <si>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</si>
  <si>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57 0 03 20070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</si>
  <si>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</si>
  <si>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</si>
  <si>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</si>
  <si>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51 3 01 S3310</t>
  </si>
  <si>
    <t>52 0 03 20010</t>
  </si>
  <si>
    <t>52 0 03 20030</t>
  </si>
  <si>
    <t>52 0 03 20040</t>
  </si>
  <si>
    <t>52 0 E1 00000</t>
  </si>
  <si>
    <t>52 0 E1 51690</t>
  </si>
  <si>
    <t>57 0 02 20030</t>
  </si>
  <si>
    <t>57 0 02 20040</t>
  </si>
  <si>
    <t>52 0 03 20130</t>
  </si>
  <si>
    <t>01 0 02 01010</t>
  </si>
  <si>
    <t>Муниципальная программа "Профилактика экстремизма и терроризма на территории Омсукчанского городского округа"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</si>
  <si>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</si>
  <si>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Омсукчанском городском округе"</t>
  </si>
  <si>
    <t>Муниципальная программа "Развитие образования в Омсукчанском городском округе"</t>
  </si>
  <si>
    <t>Расходы на обеспечение деятельности председателя представительного органа муниципального образования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</si>
  <si>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</si>
  <si>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</si>
  <si>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</si>
  <si>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</si>
  <si>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</si>
  <si>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>01 0 01 01020</t>
  </si>
  <si>
    <t>Основное мероприятие "Организация бесплатного горячего питания обучающихся"</t>
  </si>
  <si>
    <t>Резервные фонды</t>
  </si>
  <si>
    <t>07 02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</si>
  <si>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</si>
  <si>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60 0 02 01390</t>
  </si>
  <si>
    <t>05 03</t>
  </si>
  <si>
    <t>60 0 02 01280</t>
  </si>
  <si>
    <t>Мероприятия по организации сбора, вывоза несанкционированных свалок</t>
  </si>
  <si>
    <t>1 12 01040 01 0000 120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</si>
  <si>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</si>
  <si>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</si>
  <si>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0 11 L3040 </t>
  </si>
  <si>
    <t>Основное мероприятие "Прочие мероприятия по благоустройству территории поселений"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</si>
  <si>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</si>
  <si>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</si>
  <si>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</si>
  <si>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>52 0 E4 00000</t>
  </si>
  <si>
    <t>Основное мероприятие "Цифровая образовательная среда"</t>
  </si>
  <si>
    <t>11 01</t>
  </si>
  <si>
    <t>Обеспечение гарантированного комплектования фондов муниципальных библиотек</t>
  </si>
  <si>
    <t>07 07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</si>
  <si>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</si>
  <si>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</si>
  <si>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04 05</t>
  </si>
  <si>
    <t>04 12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</si>
  <si>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</si>
  <si>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</si>
  <si>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</si>
  <si>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</si>
  <si>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</si>
  <si>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</si>
  <si>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</si>
  <si>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</si>
  <si>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</si>
  <si>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</si>
  <si>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</si>
  <si>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</si>
  <si>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</si>
  <si>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</si>
  <si>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</si>
  <si>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</si>
  <si>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</si>
  <si>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</si>
  <si>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</si>
  <si>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</si>
  <si>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</si>
  <si>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</si>
  <si>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</si>
  <si>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</si>
  <si>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</si>
  <si>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Мероприятия по поддержке социально ориентированных некоммерческих организаций</t>
  </si>
  <si>
    <t>05 01</t>
  </si>
  <si>
    <t>Основное мероприятие "Обеспечение пожарной безопасности"</t>
  </si>
  <si>
    <t>64 0 04 00000</t>
  </si>
  <si>
    <t>64 0 04 01250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</si>
  <si>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</si>
  <si>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</si>
  <si>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</si>
  <si>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</si>
  <si>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>60 0 04 S3П08</t>
  </si>
  <si>
    <t>51 4 01 S3280</t>
  </si>
  <si>
    <t>Специальные расходы</t>
  </si>
  <si>
    <t>880</t>
  </si>
  <si>
    <t>64 0 04 S0720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</si>
  <si>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</si>
  <si>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</si>
  <si>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</si>
  <si>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Формирование и увеличение уставного фонда предприятий жилищно-коммунального хозяйства</t>
  </si>
  <si>
    <t>02 0 02 01960</t>
  </si>
  <si>
    <t>Бюджетные инвестиции иным юридическим лицам</t>
  </si>
  <si>
    <t>450</t>
  </si>
  <si>
    <t>60 0 05 00000</t>
  </si>
  <si>
    <t>Основное мероприятие "Реализация инициативных проектов в области благоустройства"</t>
  </si>
  <si>
    <t>65 0 01 00000</t>
  </si>
  <si>
    <t>65 0 01 S2160</t>
  </si>
  <si>
    <t>60 0 05 S2140</t>
  </si>
  <si>
    <t>57 0 02 20100</t>
  </si>
  <si>
    <t>Основное мероприятие"Обеспечение персонифицированного финансирования дополнительного образования детей"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</si>
  <si>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</si>
  <si>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</si>
  <si>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</si>
  <si>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</si>
  <si>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</si>
  <si>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</si>
  <si>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</si>
  <si>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</si>
  <si>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Содержание  казенных учреждений</t>
  </si>
  <si>
    <t>Основное мероприятие "Организация питания в образовательных учреждениях"</t>
  </si>
  <si>
    <t>Целевые субсидии на организацию питания в образовательных учреждениях</t>
  </si>
  <si>
    <t>52 0 06 S3090</t>
  </si>
  <si>
    <t>Обеспечение персонифицированного финансирования дополнительного образования детей</t>
  </si>
  <si>
    <t>1 01 02080 01 0000110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</si>
  <si>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</si>
  <si>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Всего</t>
  </si>
  <si>
    <t>область</t>
  </si>
  <si>
    <t>РзПр</t>
  </si>
  <si>
    <t>федер.</t>
  </si>
  <si>
    <t>Формула расчета</t>
  </si>
  <si>
    <t>Процент софинансирования м/б</t>
  </si>
  <si>
    <t>Субсидии бюджетам городских округов на организацию питания в образовательных учреждениях</t>
  </si>
  <si>
    <t>Основное мероприятие "Укрепление материально-технической базы"</t>
  </si>
  <si>
    <t>57 0 07 00000</t>
  </si>
  <si>
    <t>57 0 07 S1830</t>
  </si>
  <si>
    <t>Укрепление материально-технической базы в области физической культуры  и спорта</t>
  </si>
  <si>
    <t>57 0 07 S3080</t>
  </si>
  <si>
    <t>Мероприятия в сфере укрепления гражданского единства, гармонизации межнациональных отношений, профилактики экстремизма</t>
  </si>
  <si>
    <t>Мероприятия по реализации инициативных проектов</t>
  </si>
  <si>
    <t>Мероприятия по увековечиванию памяти погибших при защите Отечества</t>
  </si>
  <si>
    <t>51 4 01 L2990</t>
  </si>
  <si>
    <t>Развитие сети учреждений культурно-досугового типа</t>
  </si>
  <si>
    <t>58 0 A1 55130</t>
  </si>
  <si>
    <t>Мероприятия по государственной поддержке отрасли культуры</t>
  </si>
  <si>
    <t>58 0 06 L5190</t>
  </si>
  <si>
    <t>52 0 02 74200</t>
  </si>
  <si>
    <t>58 0 04 74200</t>
  </si>
  <si>
    <t>07 01                         0702</t>
  </si>
  <si>
    <t>Область и федерация</t>
  </si>
  <si>
    <t>01 0 03 74200</t>
  </si>
  <si>
    <t>01 0 04 01790</t>
  </si>
  <si>
    <t>2 02 25497 00 0000 150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</si>
  <si>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</si>
  <si>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</si>
  <si>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1 16 01070 01 0000 140
</t>
  </si>
  <si>
    <t xml:space="preserve">1 16 01073 01 0000 140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</si>
  <si>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</si>
  <si>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</si>
  <si>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58 0 А2 00000</t>
  </si>
  <si>
    <t>58 0 A2 55190</t>
  </si>
  <si>
    <t>58 0 01 15000</t>
  </si>
  <si>
    <t>Целевые субсидии на проведение мероприятий в области культуры и искусства</t>
  </si>
  <si>
    <t>58 0 02 20020</t>
  </si>
  <si>
    <t>58 0 03 20140</t>
  </si>
  <si>
    <t>S3090</t>
  </si>
  <si>
    <t>д/с Омсукчан</t>
  </si>
  <si>
    <t>д/с Дукат</t>
  </si>
  <si>
    <t>ООШ</t>
  </si>
  <si>
    <t>СОШ Дукат</t>
  </si>
  <si>
    <t>СОШ Омсукчан</t>
  </si>
  <si>
    <t>68 0 00 00000</t>
  </si>
  <si>
    <t>68 0 01 00000</t>
  </si>
  <si>
    <t>68 0 01 01980</t>
  </si>
  <si>
    <t>350</t>
  </si>
  <si>
    <t>Основное мероприятие "Реализация кадровой политики, направленной на минимизацию коррупционных рисков"</t>
  </si>
  <si>
    <t>Проведение конкурсов на антитеррористическую тематику</t>
  </si>
  <si>
    <t xml:space="preserve"> Премии и гранты</t>
  </si>
  <si>
    <t>Основное мероприятие "Реализация проекта "1000 дворов"</t>
  </si>
  <si>
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</si>
  <si>
    <t>60 0 06 00000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</si>
  <si>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</si>
  <si>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51 1 02 S3444</t>
  </si>
  <si>
    <t>Субсидии на реализацию мероприятий в сфере молодежной политики</t>
  </si>
  <si>
    <t>Мероприятия по увековечиванию памяти погибших при защите Отечества (доп.код с 1 на конце)</t>
  </si>
  <si>
    <t>Мероприятия по увековечиванию памяти погибших при защите Отечества (доп.код с 2 на конце)</t>
  </si>
  <si>
    <t>в Кристе -</t>
  </si>
  <si>
    <t>2 02 36900 00 0000 150</t>
  </si>
  <si>
    <t>Единая субвенция местным бюджетам из бюджета субъекта Российской Федерации</t>
  </si>
  <si>
    <t>60 0 06 55050</t>
  </si>
  <si>
    <t>60 0 07 00000</t>
  </si>
  <si>
    <t xml:space="preserve">Обеспечение комплексного развития сельских территорий </t>
  </si>
  <si>
    <t xml:space="preserve">60 0 07 L5760 </t>
  </si>
  <si>
    <t>Основное мероприятие "Комплексное развитие сельских территорий"</t>
  </si>
  <si>
    <t>Основное мероприятие "Создание условий для реализации творческого потенциала нации"</t>
  </si>
  <si>
    <t>Формирование современной городской среды</t>
  </si>
  <si>
    <t>Благоустройство общественных территорий</t>
  </si>
  <si>
    <t>Основное мероприятие "Подготовка к осенне-зимнему отопительному сезону"</t>
  </si>
  <si>
    <t>62 0 08 62110</t>
  </si>
  <si>
    <t>62 0 08 00000</t>
  </si>
  <si>
    <t>Мероприятия по подготовке к осенне-зимнему отопительному периоду</t>
  </si>
  <si>
    <t>Ликвидация несанкционированных свалок на территории городских округов Магаданской области</t>
  </si>
  <si>
    <t>0113</t>
  </si>
  <si>
    <t xml:space="preserve">Исполнение судебных актов </t>
  </si>
  <si>
    <t>Целевые субсидии на организацию трудоустройства несовершеннолетних граждан</t>
  </si>
  <si>
    <t>51 1 01 20120</t>
  </si>
  <si>
    <t>58 0 02 20030</t>
  </si>
  <si>
    <t>58 0 02 20040</t>
  </si>
  <si>
    <t>58 0 09 00000</t>
  </si>
  <si>
    <t xml:space="preserve">Целевые субсидии на проведение мероприятий по новогоднему оформлению территории городского округа </t>
  </si>
  <si>
    <t>58 0 09 20190</t>
  </si>
  <si>
    <t>Основное мероприятие "Прочие мероприятия в области культуры и искусства"</t>
  </si>
  <si>
    <t>Мероприятия по оборудованию квартир отдельных категорий граждан автономными пожарными извещателями и по их техническому обслуживанию</t>
  </si>
  <si>
    <t>10 06</t>
  </si>
  <si>
    <t>59 0 02 20030</t>
  </si>
  <si>
    <t>Охрана окружающей среды</t>
  </si>
  <si>
    <t>Другие вопросы в области охраны окружающей среды</t>
  </si>
  <si>
    <t>Основное мероприятие " Снижение негативного влияния отходов на состояние окружающей среды"</t>
  </si>
  <si>
    <t>71 0 00 00000</t>
  </si>
  <si>
    <t>71 0 01 00000</t>
  </si>
  <si>
    <t>71 0 01 S3П08</t>
  </si>
  <si>
    <t>02 0 02 01990</t>
  </si>
  <si>
    <t>58 0 03 20200</t>
  </si>
  <si>
    <t>Целевые субсидии на реализацию мер социальной поддержки мобилизованных граждан</t>
  </si>
  <si>
    <t>НАЦ.ПРОЕКТЫ</t>
  </si>
  <si>
    <t>52 0 04 S4300</t>
  </si>
  <si>
    <t>05 02</t>
  </si>
  <si>
    <t xml:space="preserve">Возмещение расходов по коммунальным услугам физкультурно-оздоровительным и спортивным комплексам </t>
  </si>
  <si>
    <t xml:space="preserve">Укрепление материально-технической базы в области физической культуры  и спорта </t>
  </si>
  <si>
    <t>без софинанс</t>
  </si>
  <si>
    <t>УК</t>
  </si>
  <si>
    <t>без процента по расчетам</t>
  </si>
  <si>
    <t>Муниципальная программа "Развитие муниципальной службы в Омсукчанском муниципальном округе"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</si>
  <si>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муниципального округа"</t>
  </si>
  <si>
    <t>Мероприятия, проводимые за счет резервного фонда администрации Омсукчанского муниципального округа</t>
  </si>
  <si>
    <t>Осуществление переданных государственных полномочий за счет единой субвенции бюджетам муниципальных образований Магаданской области</t>
  </si>
  <si>
    <t>Муниципальная программа "Профилактика экстремизма и терроризма на территории Омсукчанского муниципального округа"</t>
  </si>
  <si>
    <t>Осуществление государственных полномочий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</t>
  </si>
  <si>
    <t>Целевые субсидии на оснащение муниципальных учреждений</t>
  </si>
  <si>
    <t>Создание модельных муниципальных библиотек</t>
  </si>
  <si>
    <t>58 0 A1 54540</t>
  </si>
  <si>
    <t xml:space="preserve">Целевые субсидии муниципальным учреждениям  по организации питания </t>
  </si>
  <si>
    <t>57 0 04 74200</t>
  </si>
  <si>
    <t>Возмещение расходов по коммунальным услугам учреждениям социальной сферы</t>
  </si>
  <si>
    <t>Основное мероприятие "Отдельные мероприятия в рамках федерального проекта "Культурная среда" национального проекта "Культура"</t>
  </si>
  <si>
    <t>Муниципальная программа "Переселение граждан из аварийного жилищного фонда и оптимизация жилищного фонда на территории Омсукчанского муниципального округа"</t>
  </si>
  <si>
    <t>72 0 00 00000</t>
  </si>
  <si>
    <t>Основное мероприятие "Восстановление муниципального жилищного фонда"</t>
  </si>
  <si>
    <t>Восстановление и модернизация муниципального имущества в муниципальных образованиях Магаданской области</t>
  </si>
  <si>
    <t>72 0 01 S1110</t>
  </si>
  <si>
    <t>72 0 01 00000</t>
  </si>
  <si>
    <t>Ремонт мостов и искусственных сооружений</t>
  </si>
  <si>
    <t>50 0 02 01550</t>
  </si>
  <si>
    <t xml:space="preserve">Модернизация квартальной котельной в пос.Омсукчан </t>
  </si>
  <si>
    <t>Муниципальная программа "Комплексное развитие  систем коммунальной инфраструктуры Омсукчанского муниципального округа на 2019-2023 годы"</t>
  </si>
  <si>
    <t>Муниципальная программа "Развитие системы обращения с твердыми коммунальными отходами на территории Омсучанского муниципального" округа</t>
  </si>
  <si>
    <t>Обеспечение проведения выборов и референдумов</t>
  </si>
  <si>
    <t>07 09</t>
  </si>
  <si>
    <t>Условно утвержденные расходы</t>
  </si>
  <si>
    <t>Управление культуры, социальной и молодежной политики  администрации Омсукчанского муниципального округа</t>
  </si>
  <si>
    <t>Управление  ЖКХ и градостроительства администрации Омсукчанского муниципального округа</t>
  </si>
  <si>
    <t>Управление образования администрации Омсукчанского муниципального округа</t>
  </si>
  <si>
    <t xml:space="preserve">Мероприятия по организации отдыха и оздоровления детей </t>
  </si>
  <si>
    <t>Администрация Омсукчанского муниципального округа</t>
  </si>
  <si>
    <t>Муниципальная программа "Развитие транспортной инфраструктуры  Омсукчанского муниципального округа"</t>
  </si>
  <si>
    <t xml:space="preserve">Муниципальная программа "Проведение социальной и молодежной политики в Омсукчанском муниципальном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</si>
  <si>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муниципального округа" </t>
  </si>
  <si>
    <t xml:space="preserve">Подпрограмма  "Улучшение демографической ситуации в Омсукчанском муниципальном округе" </t>
  </si>
  <si>
    <t>Муниципальная программа "Развитие  образования в Омсукчанском муниципальном округе"</t>
  </si>
  <si>
    <t xml:space="preserve">Муниципальная программа "Развитие малого и среднего предпринимательства в Омсукчанском муниципальном округе" 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</si>
  <si>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муниципального округа"</t>
  </si>
  <si>
    <t>Муниципальная программа "Развитие физической культуры и спорта в Омсукчанском муниципальном  округе"</t>
  </si>
  <si>
    <t>Управление спорта и туризма администрации Омсукчанского муниципального округа</t>
  </si>
  <si>
    <t>907</t>
  </si>
  <si>
    <t>Муниципальная программа "Развитие культуры в Омсукчанском муниципальном округе"</t>
  </si>
  <si>
    <t>Муниципальная программа "Благоустройство территории Омсукчанского муниципального округа"</t>
  </si>
  <si>
    <t xml:space="preserve">Благоустройство  </t>
  </si>
  <si>
    <t xml:space="preserve">Муниципальная программа "Энергосбережение и повышение энергетической эффективности в Омсукчанском муниципальном округе" </t>
  </si>
  <si>
    <t xml:space="preserve">Муниципальная программа "Развитие торговли на территории Омсукчанского муниципального округа" </t>
  </si>
  <si>
    <t xml:space="preserve">Муниципальная программа "Формирование доступной среды в Омсукчанском муниципальном округе" </t>
  </si>
  <si>
    <t>ИТОГО РАСХОДОВ</t>
  </si>
  <si>
    <t>ИТОГО РАСХОДОВ: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</si>
  <si>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муниципального  округа" 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</si>
  <si>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муниципальный округ" 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</si>
  <si>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муниципального округа" </t>
  </si>
  <si>
    <t xml:space="preserve">Муниципальная программа "Чистая вода Омсукчанского городского муниципального округа" </t>
  </si>
  <si>
    <t xml:space="preserve">Муниципальная программа "Формирование современной городской среды муниципального образования "Омсукчанский муниципальный округ" на 2018-2024 годы" </t>
  </si>
  <si>
    <t>Муниципальная программа "Развитие образования в Омсукчанском муниципальном округе"</t>
  </si>
  <si>
    <t xml:space="preserve">Муниципальная программа "Энергосбережение и повышение энергетической эффективности в Омсукчанском муниципальном  округе" </t>
  </si>
  <si>
    <t xml:space="preserve">Подпрограмма  "Улучшение демографической ситуации в Омсукчанском муниципальном  округе" 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</si>
  <si>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</si>
  <si>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</si>
  <si>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1 06 01020 14 1000 110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</si>
  <si>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
</t>
  </si>
  <si>
    <t>1 06 06032 14 0000 110</t>
  </si>
  <si>
    <t>1 06 06042 14 0000 110</t>
  </si>
  <si>
    <t xml:space="preserve">1 08 07000 01 0000 110
</t>
  </si>
  <si>
    <t xml:space="preserve">1 08 07150 01 0000 110
</t>
  </si>
  <si>
    <t>1 11 05012 14 0000 120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</si>
  <si>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
</t>
  </si>
  <si>
    <t>1 11 05074 14 0000 120</t>
  </si>
  <si>
    <t xml:space="preserve">1 11 05300 00 0000 120
</t>
  </si>
  <si>
    <t xml:space="preserve">1 11 05324 14 0000 120
</t>
  </si>
  <si>
    <t>1 13 01994 14 0000 130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</si>
  <si>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</si>
  <si>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</si>
  <si>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</si>
  <si>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</si>
  <si>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1 14 02043 14 0000 410</t>
  </si>
  <si>
    <t>1 14 06012 14 0000 430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</si>
  <si>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</si>
  <si>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</si>
  <si>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</si>
  <si>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</si>
  <si>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 xml:space="preserve">1 16 11050 01 0000 140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</si>
  <si>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</si>
  <si>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</si>
  <si>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</si>
  <si>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</si>
  <si>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</si>
  <si>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</si>
  <si>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</si>
  <si>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</si>
  <si>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>Субсидии бюджетам муниципальных округов на поддержку отрасли культуры</t>
  </si>
  <si>
    <t>2 02 29999 14 0000 150</t>
  </si>
  <si>
    <t xml:space="preserve">Субсидии бюджетам муниципальных образований Магаданской области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</si>
  <si>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 xml:space="preserve">Субсидии бюджетам муниципальных образований Магаданской области на организацию отдыха и оздоровление детей </t>
  </si>
  <si>
    <t xml:space="preserve">Субсидии бюджетам муниципальных образований Магаданской области на организацию питания в образовательных учреждениях </t>
  </si>
  <si>
    <t xml:space="preserve">Субсидии бюджетам муниципальных образований Магаданской области  на реализацию мероприятия "Восстановление и модернизация муниципального имущества в муниципальных образованиях Магаданской области" </t>
  </si>
  <si>
    <t>Предоставление субсидий бюджетам муниципальных образований на организацию и проведение областных универсальных совместных ярмарок</t>
  </si>
  <si>
    <t>Субсидии бюджетам муниципальных образований Магаданской области на возмещение расходов по коммунальным услугам учреждениям социальной сферы</t>
  </si>
  <si>
    <t xml:space="preserve">Субсидии бюджетам муниципальных образований Магаданской области на реализацию мероприятий в сфере укрепления гражданского единства, гармонизации межнациональных отношений, профилактики экстремизма </t>
  </si>
  <si>
    <t xml:space="preserve">Субсидии бюджетам муниципальных образований Магаданской области на укрепление материально-технической базы муниципальных сельскохозяйственных предприятий, крестьянско-фермерских хозяйств, территориально-соседских общин, родовых общин коренных малочисленных народов Севера, занятых традиционным природопользованием </t>
  </si>
  <si>
    <t>Субсидии бюджетам муниципальных образований на осуществление мероприятий по подготовке к осенне-зимнему отопительному периоду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</si>
  <si>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</si>
  <si>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</si>
  <si>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>Субвенции бюджетам муниципальных образований Магаданской области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</si>
  <si>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Субвенции бюджетам муниципальных образований Магаданской области на осуществление государственных полномочий по организации и осуществлению деятельности органов опеки и попечительства</t>
  </si>
  <si>
    <t>Субвенции бюджетам муниципальных образований Магаданской области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</si>
  <si>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Субвенции бюджетам муниципальных образований Магаданской области на осуществление государственных полномочий по созданию и организации деятельности административных комиссий</t>
  </si>
  <si>
    <t>Субвенции бюджетам муниципальных образований Магаданской области на осуществление государственных полномочий по обеспечению отдельных категорий граждан жилыми помещениями</t>
  </si>
  <si>
    <t>Субвенции бюджетам муниципальных образований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</si>
  <si>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2 02 36900 14 0000 150</t>
  </si>
  <si>
    <t xml:space="preserve">Единая субвенция бюджетам муниципальных округов из бюджета субъекта Российской Федерации
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</si>
  <si>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</si>
  <si>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</si>
  <si>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</si>
  <si>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</si>
  <si>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2 02 45454 00 0000 150
</t>
  </si>
  <si>
    <t>Межбюджетные трансферты, передаваемые бюджетам на создание модельных муниципальных библиотек</t>
  </si>
  <si>
    <t>2 02 45454 14 0000 150</t>
  </si>
  <si>
    <t>Межбюджетные трансферты, передаваемые бюджетам муниципальных округов на создание модельных муниципальных библиотек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</si>
  <si>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</si>
  <si>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</si>
  <si>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</si>
  <si>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</si>
  <si>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</si>
  <si>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</si>
  <si>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</si>
  <si>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</si>
  <si>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</si>
  <si>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оказания платных услуг (работ) получателями средств бюджетов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</si>
  <si>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</si>
  <si>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</si>
  <si>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Прочие субсидии бюджетам муниципальных округов</t>
  </si>
  <si>
    <t xml:space="preserve">Наименование </t>
  </si>
  <si>
    <t>ЦСР</t>
  </si>
  <si>
    <t>ГР</t>
  </si>
  <si>
    <t>2 02 15002 00 0000 150</t>
  </si>
  <si>
    <t>Дотации бюджетам на поддержку мер по обеспечению сбалансированности бюджетов</t>
  </si>
  <si>
    <t>2 02 15002 14 0000 150</t>
  </si>
  <si>
    <t xml:space="preserve">Дотации бюджетам муниципальных округов на поддержку мер по обеспечению сбалансированности бюджетов
</t>
  </si>
  <si>
    <t>52 0 07 00000</t>
  </si>
  <si>
    <t>52 0 07 01970</t>
  </si>
  <si>
    <t>52 0 08 00000</t>
  </si>
  <si>
    <t>52 0 08 S3420</t>
  </si>
  <si>
    <t>52 0 09 00000</t>
  </si>
  <si>
    <t xml:space="preserve">52 0 09 L3040 </t>
  </si>
  <si>
    <t>Комитет по управлению муниципальным имуществом администрации Омсукчанского муниципального округа</t>
  </si>
  <si>
    <t>905</t>
  </si>
  <si>
    <t>Спорт высших достижений</t>
  </si>
  <si>
    <t>Комитет финансов администрации  Омсукчанского муниципального округа</t>
  </si>
  <si>
    <t>Муниципальная программа "Профилактика экстеремизма и терроризма на территории Омсукчанского муниципального округа"</t>
  </si>
  <si>
    <t>Контрольно- счетная палата Омсукчанского муниципального округа</t>
  </si>
  <si>
    <t xml:space="preserve">Муниципальная программа "Формирование доступной среды в Омсукчанском муниципальном  округе" </t>
  </si>
  <si>
    <t>Муниципальная программа "Формирование доступной среды в Омсукчанском муниципальном округе"</t>
  </si>
  <si>
    <t>Управление ЖКХ и градостроительства  администрации Омсукчанского муниципального округа</t>
  </si>
  <si>
    <t>Собрание представителей Омсукчанского муниципального округа</t>
  </si>
  <si>
    <t>901 01 05 02 01 14 0000 510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</si>
  <si>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</si>
  <si>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</si>
  <si>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>901 01 05 02 01 14 0000 610</t>
  </si>
  <si>
    <t xml:space="preserve">Молодежная политика </t>
  </si>
  <si>
    <t>Молодежная политика</t>
  </si>
  <si>
    <t>Приложение № 6</t>
  </si>
  <si>
    <t>Приложение № 7</t>
  </si>
  <si>
    <t>_________________________</t>
  </si>
  <si>
    <t>Реализация программ формирования современной городской среды</t>
  </si>
  <si>
    <t>52 0 E4 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</si>
  <si>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</si>
  <si>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</si>
  <si>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 (1000 дворов)</t>
  </si>
  <si>
    <t>2 02 25576 00 0000 150</t>
  </si>
  <si>
    <t>Субсидии бюджетам муниципальных округов на обеспечение комплексного развития сельских территорий</t>
  </si>
  <si>
    <t>2 02 25576 14 0000 150</t>
  </si>
  <si>
    <t>Субсидии бюджетам на обеспечение комплексного развития сельских территорий</t>
  </si>
  <si>
    <t xml:space="preserve"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</si>
  <si>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2 02 45505 14 0000 150
</t>
  </si>
  <si>
    <t xml:space="preserve"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</si>
  <si>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2 02 45505 00 0000 150
</t>
  </si>
  <si>
    <t>2 02 45179 00 0000 150</t>
  </si>
  <si>
    <t xml:space="preserve"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</si>
  <si>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</si>
  <si>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2 02 45179 14 0000 150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</si>
  <si>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</si>
  <si>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</si>
  <si>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</si>
  <si>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2 02 25555 00 0000 150</t>
  </si>
  <si>
    <t xml:space="preserve">Государственная пошлина по делам, рассматриваемым в судах общей юрисдикции, мировыми судьями
</t>
  </si>
  <si>
    <t xml:space="preserve"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</si>
  <si>
    <t xml:space="preserve">2 02 25213 14 0000 150
</t>
  </si>
  <si>
    <t xml:space="preserve"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</si>
  <si>
    <t xml:space="preserve">2 02 25213 00 0000 150
</t>
  </si>
  <si>
    <t>Основное мероприятие "Поддержка отдельных категорий граждан"</t>
  </si>
  <si>
    <t>Муниципальная программа "Развитие системы обращения с твердыми коммунальными отходами на территории Омсучанского муниципального округа"</t>
  </si>
  <si>
    <t>Основное мероприятие "Снижение негативного влияния отходов на состояние окружающей среды"</t>
  </si>
  <si>
    <t>2 07 04020 14 0000 150</t>
  </si>
  <si>
    <t>2 07 04000 14 0000 150</t>
  </si>
  <si>
    <t>Прочие безвозмездные поступления в бюджеты муниципальных округов</t>
  </si>
  <si>
    <t>2 07 00000 00 0000 000</t>
  </si>
  <si>
    <t>Основное мероприятие "Синхронизация мероприятий по благоустройству территории муниципального образования"</t>
  </si>
  <si>
    <t>Основное мероприятие "Синхронизация мероприятий по благоустройству территории муниципального образования "</t>
  </si>
  <si>
    <t>к решению СПОМО</t>
  </si>
  <si>
    <t>52 0 EB 00000</t>
  </si>
  <si>
    <t>52 0 EB 51790</t>
  </si>
  <si>
    <t>Основное мероприятие "Отдельное мероприятие в рамках реализации федерального проекта "Патриотическое воспитание граждан Российиской Федерации"национального проекта "Образование"</t>
  </si>
  <si>
    <t>Проведение казенными учреждениями мероприятий в области культуры и искусства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</si>
  <si>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</si>
  <si>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62 0 08 S2110</t>
  </si>
  <si>
    <t>65 0 01 S9640</t>
  </si>
  <si>
    <t>Субсидии бюджетам муниципальных образований на благоустройство общественных территорий</t>
  </si>
  <si>
    <t>Прочая закупка товаров, работ и услуг для государственных (муниципальных) нужд</t>
  </si>
  <si>
    <t>64 0 04 S3010</t>
  </si>
  <si>
    <t>02 0 02 S2290</t>
  </si>
  <si>
    <t>Прочая закупка товаров, работ и услуг</t>
  </si>
  <si>
    <t xml:space="preserve">Муниципальная программа "Формирование доступной среды в Омсукчанском городском округе" </t>
  </si>
  <si>
    <t>Управление культуры, социальной и молодежной политики  администрации Омсукчанского городского округа</t>
  </si>
  <si>
    <t>Субсидии бюджетам муниципальных образований Магаданской области на реализацию мероприятий по поддержке социально ориентированных некоммерческих организаций</t>
  </si>
  <si>
    <t>Субсидии бюджетам муниципальных образований на реализацию мероприятий "Создание резерва финансовых ресурсов в муниципальных образованиях для оперативного обеспечения локализации, ликвидации чрезвычайных ситуаций, возникших в результате лесных (ландшафтных) пожаров, паводков»</t>
  </si>
  <si>
    <t>Субсидии бюджетам муниципальных образований Магаданской области  на реализацию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</si>
  <si>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Подпрограмма "Молодежь Омсукчанского муниципального округа"</t>
  </si>
  <si>
    <t>Мероприятия по оборудованию квартир отдельных категорий граждан автономными пожарными извещателями и их техническому обслуживанию</t>
  </si>
  <si>
    <t>Создание резерва финансовых ресурсов в муниципальных образованиях для оперативного обеспечения локализации, ликвидации черезвычайных ситуаций, возникших в результате лесных(ландшафтных) пожаров, паводков</t>
  </si>
  <si>
    <t>Мероприятия по компенсации расходов, связанных с погашением задолженности по исполнительным документам</t>
  </si>
  <si>
    <t>02 0 02 72130</t>
  </si>
  <si>
    <t>Субсидии бюджетам городских округов на реализацию мероприятий поддержки развития малого и среднего предпринимательства</t>
  </si>
  <si>
    <t>57 0 02 20300</t>
  </si>
  <si>
    <t>Целевые субсидии на проведение инженерных изысканий</t>
  </si>
  <si>
    <t>Мероприятия по возмещению расходов сотруднику, направленному на территорию Донецкой Народной Республики</t>
  </si>
  <si>
    <t>01 0 02 72120</t>
  </si>
  <si>
    <t xml:space="preserve">2 02 16549 00 0000 150
</t>
  </si>
  <si>
    <t>Дотации (гранты) бюджетам за достижение показателей деятельности органов местного самоуправления</t>
  </si>
  <si>
    <t xml:space="preserve">2 02 16549 14 0000 150
</t>
  </si>
  <si>
    <t>Дотации (гранты) бюджетам муниципальных округов за достижение показателей деятельности органов местного самоуправления</t>
  </si>
  <si>
    <t>01 0 02 55491</t>
  </si>
  <si>
    <t>58 0 01 55491</t>
  </si>
  <si>
    <t>02 0 01 55491</t>
  </si>
  <si>
    <t>01 0 01 55491</t>
  </si>
  <si>
    <t>Достижение показателей деятельности органов местного самоуправления</t>
  </si>
  <si>
    <t>Расходы за достижение показателей деятельности органов местного самоуправления</t>
  </si>
  <si>
    <t xml:space="preserve">Субсидии некоммерческим организациям
</t>
  </si>
  <si>
    <t>Предоставление субсидий в целях финансового обеспечения (возмещения) исполнения государственного (муниципального)социального заказа на оказание государственных (муниципальных) услуг в социальной сфере</t>
  </si>
  <si>
    <t>635</t>
  </si>
  <si>
    <t>Целевые субсидии по осуществлению гарантий и компенсаций расходов, связанных с переездом в районы Крайнего Севера</t>
  </si>
  <si>
    <t>52 0 03 20090</t>
  </si>
  <si>
    <t>Субсидии некоммерческим организациям</t>
  </si>
  <si>
    <t>1 01 02130 01 1000 110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</si>
  <si>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</si>
  <si>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</si>
  <si>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</si>
  <si>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</si>
  <si>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</si>
  <si>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2 02 49999 14 0000 150</t>
  </si>
  <si>
    <t>2 02 49999 00 0000 150</t>
  </si>
  <si>
    <t>Муниципальная программа "Защита населения и территории от чрезвычайных ситуаций и обеспечение пожарной безопасности на территории Омсукчанского муниципального округа"</t>
  </si>
  <si>
    <t>Основное мероприятие " Защита населения и территории от чрезвычайных ситуаций природного и техногенного характера"</t>
  </si>
  <si>
    <t>73 0 00 00000</t>
  </si>
  <si>
    <t>73 0 02 00000</t>
  </si>
  <si>
    <t>73 0 02 S2290</t>
  </si>
  <si>
    <t>01 0 02 72200</t>
  </si>
  <si>
    <t>Поощрение за достижение наилучших значений показателей деятельности органов местного самоуправления</t>
  </si>
  <si>
    <t>Целевые субсидии на меропрития по профилактике правонарушений</t>
  </si>
  <si>
    <t>69 0 01 20330</t>
  </si>
  <si>
    <t>Целевые субсидии на мероприятия по профилактике правонарушений</t>
  </si>
  <si>
    <t>58 0 01 72200</t>
  </si>
  <si>
    <t>01 0 04 72200</t>
  </si>
  <si>
    <t>57 0 01 72200</t>
  </si>
  <si>
    <t>02 0 01 72200</t>
  </si>
  <si>
    <t>01 0 01 72200</t>
  </si>
  <si>
    <t>52 0 01 72200</t>
  </si>
  <si>
    <t>25 0 01 72200</t>
  </si>
  <si>
    <t>Расходы на повышение оплаты труда работников муниципальных учреждений</t>
  </si>
  <si>
    <t>02 0 01 72114</t>
  </si>
  <si>
    <t>58 0 01 72114</t>
  </si>
  <si>
    <t>52 0 01 72114</t>
  </si>
  <si>
    <t>01 0 02 72114</t>
  </si>
  <si>
    <t>57 0 01 72114</t>
  </si>
  <si>
    <t xml:space="preserve">01 </t>
  </si>
  <si>
    <t>Приложение № 4</t>
  </si>
  <si>
    <t>Приложение № 2</t>
  </si>
  <si>
    <t>Утверждено на 2023 год, тыс.руб.</t>
  </si>
  <si>
    <t>Исполнено за 2023 год, тыс.руб.</t>
  </si>
  <si>
    <t>Процент исполнения, %</t>
  </si>
  <si>
    <t xml:space="preserve">Исполнение ведомственной  структуры расходов бюджета Омсукчанского муниципального округа за 2023 год </t>
  </si>
  <si>
    <t xml:space="preserve"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2023 год </t>
  </si>
  <si>
    <t xml:space="preserve">Исполнение распределения бюджетных ассигнований  по разделам и подразделам классификации расходов бюджетов Российской Федерации за  2023 год </t>
  </si>
  <si>
    <t xml:space="preserve"> Исполнение распределения бюджетных ассигнований, направляемых на реализацию муниципальных программ  Омсукчанского муниципального округа за 2023 год </t>
  </si>
  <si>
    <t>Исполнение распределения бюджетных ассигнований, направляемых
на государственную поддержку семьи и детей за 2023 год</t>
  </si>
  <si>
    <t xml:space="preserve">Исполнение распределения бюджетных ассигнований, направляемых на исполнение публичных нормативных обязательств бюджета Омсукчанского муниципального округа за 2023 год </t>
  </si>
  <si>
    <t xml:space="preserve">Исполнение по источникам внутреннего финансирования дефицита бюджета Омсукчанского муниципального округа  за 2023 год </t>
  </si>
  <si>
    <t>1 05 02000 02 0000 110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</si>
  <si>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</si>
  <si>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</si>
  <si>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1 05 02010 02 0000 110</t>
  </si>
  <si>
    <t>-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</si>
  <si>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</si>
  <si>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</si>
  <si>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1 16 02000 02 0000 140</t>
  </si>
  <si>
    <t xml:space="preserve">1 16 02020 02 0000 140
</t>
  </si>
  <si>
    <t>1 16 07010 14 0000 140</t>
  </si>
  <si>
    <t>1 16 07090 14 0000 140</t>
  </si>
  <si>
    <t>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</si>
  <si>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</si>
  <si>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</si>
  <si>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</si>
  <si>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2 19 00000 00 0000 000</t>
  </si>
  <si>
    <t>2 19 00000 14 0000 150</t>
  </si>
  <si>
    <t xml:space="preserve">2 19 60010 14 0000 150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</si>
  <si>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</si>
  <si>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</si>
  <si>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</si>
  <si>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00</t>
  </si>
  <si>
    <t>Приложение № 1</t>
  </si>
  <si>
    <t>Отклонение, тыс.руб.</t>
  </si>
  <si>
    <t xml:space="preserve">Исполнение доходов в бюджет Омсукчанского муниципального округа за 2023 год </t>
  </si>
  <si>
    <t>от 02.04.2024 № 134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</si>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</sst>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#,##0.00000"/>
  </numFmts>
  <fonts count="6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9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2A3143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164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4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63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49" fontId="2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0" fillId="0" borderId="0" xfId="0" applyFont="1"/>
    <xf numFmtId="0" fontId="0" fillId="0" borderId="0" xfId="0" applyNumberFormat="1" applyFill="1"/>
    <xf numFmtId="0" fontId="1" fillId="0" borderId="0" xfId="0" applyNumberFormat="1" applyFont="1" applyFill="1" applyAlignment="1"/>
    <xf numFmtId="0" fontId="0" fillId="0" borderId="0" xfId="0" applyNumberFormat="1" applyFont="1" applyFill="1"/>
    <xf numFmtId="0" fontId="1" fillId="0" borderId="1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/>
    <xf numFmtId="0" fontId="1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7" fillId="0" borderId="0" xfId="0" applyFont="1"/>
    <xf numFmtId="49" fontId="1" fillId="0" borderId="1" xfId="1" applyNumberFormat="1" applyFont="1" applyFill="1" applyBorder="1" applyAlignment="1">
      <alignment horizontal="left" vertical="top" wrapText="1"/>
    </xf>
    <xf numFmtId="0" fontId="8" fillId="0" borderId="0" xfId="1" applyNumberFormat="1" applyFill="1"/>
    <xf numFmtId="0" fontId="27" fillId="0" borderId="0" xfId="0" applyNumberFormat="1" applyFont="1" applyFill="1"/>
    <xf numFmtId="0" fontId="28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27" fillId="0" borderId="0" xfId="0" applyFont="1" applyFill="1"/>
    <xf numFmtId="0" fontId="2" fillId="0" borderId="1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4" fontId="0" fillId="0" borderId="0" xfId="0" applyNumberFormat="1" applyFill="1"/>
    <xf numFmtId="0" fontId="10" fillId="0" borderId="6" xfId="0" applyFont="1" applyFill="1" applyBorder="1" applyAlignment="1">
      <alignment vertical="center" wrapText="1"/>
    </xf>
    <xf numFmtId="4" fontId="0" fillId="0" borderId="0" xfId="0" applyNumberFormat="1"/>
    <xf numFmtId="0" fontId="14" fillId="0" borderId="0" xfId="0" applyFont="1" applyFill="1" applyAlignment="1">
      <alignment horizontal="center" wrapText="1"/>
    </xf>
    <xf numFmtId="0" fontId="16" fillId="0" borderId="1" xfId="0" applyFont="1" applyFill="1" applyBorder="1"/>
    <xf numFmtId="0" fontId="2" fillId="0" borderId="0" xfId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/>
    </xf>
    <xf numFmtId="165" fontId="25" fillId="0" borderId="0" xfId="0" applyNumberFormat="1" applyFont="1" applyAlignment="1">
      <alignment horizontal="center"/>
    </xf>
    <xf numFmtId="165" fontId="2" fillId="4" borderId="1" xfId="1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0" xfId="1" applyNumberFormat="1" applyFill="1"/>
    <xf numFmtId="0" fontId="0" fillId="0" borderId="0" xfId="0"/>
    <xf numFmtId="165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/>
    <xf numFmtId="0" fontId="1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5" fillId="0" borderId="0" xfId="0" applyFont="1"/>
    <xf numFmtId="0" fontId="10" fillId="0" borderId="0" xfId="0" applyFont="1"/>
    <xf numFmtId="4" fontId="10" fillId="0" borderId="0" xfId="0" applyNumberFormat="1" applyFont="1" applyAlignment="1">
      <alignment wrapText="1"/>
    </xf>
    <xf numFmtId="4" fontId="25" fillId="0" borderId="0" xfId="0" applyNumberFormat="1" applyFont="1" applyAlignment="1">
      <alignment wrapText="1"/>
    </xf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1" fillId="0" borderId="1" xfId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5" fillId="0" borderId="1" xfId="0" applyFont="1" applyBorder="1"/>
    <xf numFmtId="0" fontId="10" fillId="0" borderId="1" xfId="0" applyFont="1" applyBorder="1" applyAlignment="1">
      <alignment wrapText="1"/>
    </xf>
    <xf numFmtId="165" fontId="25" fillId="0" borderId="1" xfId="0" applyNumberFormat="1" applyFont="1" applyBorder="1" applyAlignment="1">
      <alignment wrapText="1"/>
    </xf>
    <xf numFmtId="4" fontId="25" fillId="0" borderId="1" xfId="0" applyNumberFormat="1" applyFont="1" applyBorder="1" applyAlignment="1">
      <alignment wrapText="1"/>
    </xf>
    <xf numFmtId="0" fontId="25" fillId="0" borderId="6" xfId="0" applyFont="1" applyBorder="1" applyAlignment="1">
      <alignment wrapText="1"/>
    </xf>
    <xf numFmtId="4" fontId="25" fillId="0" borderId="6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 wrapText="1"/>
    </xf>
    <xf numFmtId="4" fontId="25" fillId="0" borderId="1" xfId="0" applyNumberFormat="1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wrapText="1"/>
    </xf>
    <xf numFmtId="165" fontId="25" fillId="0" borderId="1" xfId="0" applyNumberFormat="1" applyFont="1" applyFill="1" applyBorder="1" applyAlignment="1">
      <alignment wrapText="1"/>
    </xf>
    <xf numFmtId="4" fontId="25" fillId="0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49" fontId="1" fillId="5" borderId="1" xfId="1" applyNumberFormat="1" applyFont="1" applyFill="1" applyBorder="1" applyAlignment="1">
      <alignment horizontal="left"/>
    </xf>
    <xf numFmtId="0" fontId="1" fillId="5" borderId="1" xfId="1" applyFont="1" applyFill="1" applyBorder="1" applyAlignment="1">
      <alignment horizontal="left" vertical="center" wrapText="1"/>
    </xf>
    <xf numFmtId="4" fontId="10" fillId="5" borderId="9" xfId="0" applyNumberFormat="1" applyFont="1" applyFill="1" applyBorder="1" applyAlignment="1">
      <alignment horizontal="left" wrapText="1"/>
    </xf>
    <xf numFmtId="4" fontId="10" fillId="5" borderId="1" xfId="0" applyNumberFormat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4" fontId="10" fillId="0" borderId="0" xfId="0" applyNumberFormat="1" applyFont="1"/>
    <xf numFmtId="4" fontId="0" fillId="0" borderId="0" xfId="0" applyNumberFormat="1" applyAlignment="1">
      <alignment wrapText="1"/>
    </xf>
    <xf numFmtId="0" fontId="10" fillId="5" borderId="9" xfId="0" applyFont="1" applyFill="1" applyBorder="1" applyAlignment="1">
      <alignment horizontal="left" wrapText="1"/>
    </xf>
    <xf numFmtId="0" fontId="1" fillId="5" borderId="9" xfId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wrapText="1"/>
    </xf>
    <xf numFmtId="49" fontId="23" fillId="5" borderId="1" xfId="1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27" fillId="0" borderId="0" xfId="0" applyNumberFormat="1" applyFont="1" applyFill="1" applyAlignment="1">
      <alignment horizontal="right" vertical="center"/>
    </xf>
    <xf numFmtId="167" fontId="0" fillId="0" borderId="0" xfId="0" applyNumberFormat="1" applyFill="1" applyAlignment="1">
      <alignment horizontal="right"/>
    </xf>
    <xf numFmtId="0" fontId="1" fillId="0" borderId="1" xfId="1" applyFont="1" applyFill="1" applyBorder="1" applyAlignment="1">
      <alignment horizontal="left" wrapText="1"/>
    </xf>
    <xf numFmtId="4" fontId="25" fillId="0" borderId="1" xfId="0" applyNumberFormat="1" applyFont="1" applyBorder="1" applyAlignment="1">
      <alignment horizontal="center" wrapText="1"/>
    </xf>
    <xf numFmtId="0" fontId="8" fillId="0" borderId="0" xfId="1" applyFont="1" applyFill="1"/>
    <xf numFmtId="0" fontId="24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wrapText="1"/>
    </xf>
    <xf numFmtId="0" fontId="25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7" fontId="25" fillId="0" borderId="0" xfId="0" applyNumberFormat="1" applyFont="1" applyFill="1" applyAlignment="1">
      <alignment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0" applyNumberFormat="1" applyFont="1" applyFill="1" applyAlignment="1">
      <alignment horizontal="left" vertical="center"/>
    </xf>
    <xf numFmtId="0" fontId="39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/>
    </xf>
    <xf numFmtId="4" fontId="1" fillId="5" borderId="1" xfId="0" applyNumberFormat="1" applyFont="1" applyFill="1" applyBorder="1" applyAlignment="1">
      <alignment horizontal="left" wrapText="1"/>
    </xf>
    <xf numFmtId="0" fontId="40" fillId="0" borderId="0" xfId="0" applyNumberFormat="1" applyFont="1" applyFill="1" applyAlignment="1">
      <alignment vertical="center" wrapText="1"/>
    </xf>
    <xf numFmtId="0" fontId="25" fillId="0" borderId="1" xfId="0" applyFont="1" applyBorder="1" applyAlignment="1">
      <alignment horizontal="center"/>
    </xf>
    <xf numFmtId="0" fontId="19" fillId="0" borderId="0" xfId="0" applyFont="1"/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5" borderId="1" xfId="0" applyNumberFormat="1" applyFont="1" applyFill="1" applyBorder="1" applyAlignment="1">
      <alignment horizontal="left" wrapText="1"/>
    </xf>
    <xf numFmtId="49" fontId="1" fillId="5" borderId="1" xfId="1" applyNumberFormat="1" applyFont="1" applyFill="1" applyBorder="1" applyAlignment="1">
      <alignment horizontal="left" vertical="center"/>
    </xf>
    <xf numFmtId="0" fontId="1" fillId="0" borderId="1" xfId="0" applyFont="1" applyBorder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4" fontId="25" fillId="0" borderId="9" xfId="0" applyNumberFormat="1" applyFont="1" applyBorder="1" applyAlignment="1">
      <alignment horizontal="center" wrapText="1"/>
    </xf>
    <xf numFmtId="0" fontId="0" fillId="0" borderId="1" xfId="0" applyBorder="1"/>
    <xf numFmtId="4" fontId="19" fillId="0" borderId="0" xfId="0" applyNumberFormat="1" applyFont="1" applyAlignment="1">
      <alignment wrapText="1"/>
    </xf>
    <xf numFmtId="4" fontId="19" fillId="0" borderId="1" xfId="0" applyNumberFormat="1" applyFont="1" applyBorder="1" applyAlignment="1">
      <alignment horizontal="center" wrapText="1"/>
    </xf>
    <xf numFmtId="4" fontId="19" fillId="0" borderId="9" xfId="0" applyNumberFormat="1" applyFont="1" applyBorder="1" applyAlignment="1">
      <alignment horizontal="center" wrapText="1"/>
    </xf>
    <xf numFmtId="4" fontId="1" fillId="5" borderId="9" xfId="0" applyNumberFormat="1" applyFont="1" applyFill="1" applyBorder="1" applyAlignment="1">
      <alignment horizontal="left" wrapText="1"/>
    </xf>
    <xf numFmtId="4" fontId="1" fillId="0" borderId="9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23" fillId="5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" fillId="0" borderId="1" xfId="1" applyFont="1" applyFill="1" applyBorder="1" applyAlignment="1">
      <alignment vertical="center" wrapText="1"/>
    </xf>
    <xf numFmtId="0" fontId="0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43" fillId="0" borderId="0" xfId="1" applyFont="1" applyFill="1"/>
    <xf numFmtId="0" fontId="21" fillId="0" borderId="0" xfId="0" applyFont="1" applyFill="1"/>
    <xf numFmtId="165" fontId="20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3" xfId="1" applyFont="1" applyFill="1" applyBorder="1" applyAlignment="1">
      <alignment vertical="center" wrapText="1"/>
    </xf>
    <xf numFmtId="0" fontId="19" fillId="0" borderId="0" xfId="0" applyFont="1" applyFill="1"/>
    <xf numFmtId="0" fontId="25" fillId="0" borderId="0" xfId="0" applyFont="1" applyFill="1"/>
    <xf numFmtId="165" fontId="25" fillId="0" borderId="0" xfId="0" applyNumberFormat="1" applyFont="1" applyFill="1"/>
    <xf numFmtId="165" fontId="25" fillId="0" borderId="0" xfId="0" applyNumberFormat="1" applyFont="1"/>
    <xf numFmtId="4" fontId="25" fillId="0" borderId="0" xfId="0" applyNumberFormat="1" applyFont="1"/>
    <xf numFmtId="0" fontId="25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2" fillId="0" borderId="1" xfId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horizontal="center" vertical="center"/>
    </xf>
    <xf numFmtId="0" fontId="48" fillId="0" borderId="0" xfId="0" applyFont="1"/>
    <xf numFmtId="0" fontId="47" fillId="0" borderId="1" xfId="1" applyFont="1" applyFill="1" applyBorder="1" applyAlignment="1">
      <alignment horizontal="left" vertical="center"/>
    </xf>
    <xf numFmtId="165" fontId="10" fillId="0" borderId="0" xfId="0" applyNumberFormat="1" applyFont="1" applyFill="1"/>
    <xf numFmtId="4" fontId="40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/>
    <xf numFmtId="0" fontId="35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165" fontId="35" fillId="0" borderId="0" xfId="0" applyNumberFormat="1" applyFont="1" applyFill="1" applyAlignment="1">
      <alignment horizontal="left" vertical="center"/>
    </xf>
    <xf numFmtId="165" fontId="35" fillId="0" borderId="0" xfId="0" applyNumberFormat="1" applyFont="1" applyFill="1"/>
    <xf numFmtId="165" fontId="35" fillId="0" borderId="0" xfId="0" applyNumberFormat="1" applyFont="1" applyFill="1" applyAlignment="1">
      <alignment horizontal="right" vertical="center"/>
    </xf>
    <xf numFmtId="168" fontId="35" fillId="0" borderId="0" xfId="0" applyNumberFormat="1" applyFont="1" applyFill="1" applyAlignment="1">
      <alignment horizontal="left" vertical="center"/>
    </xf>
    <xf numFmtId="168" fontId="35" fillId="0" borderId="0" xfId="0" applyNumberFormat="1" applyFont="1" applyFill="1" applyAlignment="1">
      <alignment horizontal="center" vertical="center"/>
    </xf>
    <xf numFmtId="0" fontId="0" fillId="7" borderId="0" xfId="0" applyFill="1"/>
    <xf numFmtId="165" fontId="0" fillId="7" borderId="0" xfId="0" applyNumberFormat="1" applyFill="1"/>
    <xf numFmtId="0" fontId="25" fillId="7" borderId="0" xfId="0" applyFont="1" applyFill="1"/>
    <xf numFmtId="0" fontId="1" fillId="2" borderId="1" xfId="1" applyFont="1" applyFill="1" applyBorder="1" applyAlignment="1">
      <alignment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0" fillId="6" borderId="0" xfId="0" applyFill="1"/>
    <xf numFmtId="0" fontId="10" fillId="0" borderId="0" xfId="0" applyNumberFormat="1" applyFont="1" applyFill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25" fillId="6" borderId="0" xfId="0" applyFont="1" applyFill="1"/>
    <xf numFmtId="166" fontId="1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165" fontId="37" fillId="0" borderId="0" xfId="0" applyNumberFormat="1" applyFont="1" applyFill="1" applyBorder="1" applyAlignment="1"/>
    <xf numFmtId="49" fontId="36" fillId="0" borderId="7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top"/>
    </xf>
    <xf numFmtId="49" fontId="36" fillId="0" borderId="7" xfId="0" applyNumberFormat="1" applyFont="1" applyFill="1" applyBorder="1" applyAlignment="1">
      <alignment vertical="center"/>
    </xf>
    <xf numFmtId="49" fontId="36" fillId="0" borderId="15" xfId="1" applyNumberFormat="1" applyFont="1" applyFill="1" applyBorder="1" applyAlignment="1">
      <alignment vertical="center"/>
    </xf>
    <xf numFmtId="4" fontId="36" fillId="0" borderId="0" xfId="1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/>
    <xf numFmtId="16" fontId="37" fillId="0" borderId="0" xfId="0" applyNumberFormat="1" applyFont="1" applyFill="1" applyBorder="1" applyAlignment="1"/>
    <xf numFmtId="49" fontId="37" fillId="0" borderId="0" xfId="0" applyNumberFormat="1" applyFont="1" applyFill="1" applyBorder="1" applyAlignment="1"/>
    <xf numFmtId="49" fontId="36" fillId="0" borderId="14" xfId="1" applyNumberFormat="1" applyFont="1" applyFill="1" applyBorder="1" applyAlignment="1">
      <alignment vertical="center"/>
    </xf>
    <xf numFmtId="14" fontId="37" fillId="0" borderId="0" xfId="0" applyNumberFormat="1" applyFont="1" applyFill="1" applyBorder="1" applyAlignment="1"/>
    <xf numFmtId="49" fontId="36" fillId="0" borderId="16" xfId="1" applyNumberFormat="1" applyFont="1" applyFill="1" applyBorder="1" applyAlignment="1">
      <alignment vertical="center"/>
    </xf>
    <xf numFmtId="165" fontId="37" fillId="0" borderId="0" xfId="0" applyNumberFormat="1" applyFont="1" applyFill="1" applyAlignment="1"/>
    <xf numFmtId="0" fontId="37" fillId="0" borderId="0" xfId="0" applyFont="1" applyFill="1" applyAlignment="1"/>
    <xf numFmtId="4" fontId="37" fillId="0" borderId="0" xfId="0" applyNumberFormat="1" applyFont="1" applyFill="1" applyAlignment="1"/>
    <xf numFmtId="0" fontId="45" fillId="0" borderId="0" xfId="0" applyFont="1" applyFill="1" applyBorder="1" applyAlignment="1"/>
    <xf numFmtId="0" fontId="0" fillId="0" borderId="0" xfId="0" applyFill="1" applyBorder="1" applyAlignment="1"/>
    <xf numFmtId="165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right" vertical="center"/>
    </xf>
    <xf numFmtId="165" fontId="54" fillId="0" borderId="0" xfId="0" applyNumberFormat="1" applyFont="1" applyFill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55" fillId="0" borderId="0" xfId="0" applyNumberFormat="1" applyFont="1" applyFill="1" applyAlignment="1">
      <alignment horizontal="right" vertical="center"/>
    </xf>
    <xf numFmtId="49" fontId="37" fillId="0" borderId="0" xfId="0" applyNumberFormat="1" applyFont="1" applyFill="1" applyBorder="1" applyAlignment="1">
      <alignment horizontal="left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49" fontId="36" fillId="0" borderId="0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Fill="1"/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3" fillId="0" borderId="1" xfId="0" applyFont="1" applyFill="1" applyBorder="1" applyAlignment="1">
      <alignment vertical="top" wrapText="1"/>
    </xf>
    <xf numFmtId="49" fontId="1" fillId="0" borderId="1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NumberFormat="1" applyFill="1"/>
    <xf numFmtId="0" fontId="3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justify" vertical="top" wrapText="1"/>
    </xf>
    <xf numFmtId="165" fontId="1" fillId="2" borderId="6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justify" vertical="top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top" wrapText="1"/>
    </xf>
    <xf numFmtId="165" fontId="2" fillId="2" borderId="9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1" fillId="2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0" xfId="3" applyFont="1" applyFill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1" fillId="2" borderId="0" xfId="3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3" fillId="2" borderId="2" xfId="0" applyNumberFormat="1" applyFont="1" applyFill="1" applyBorder="1" applyAlignment="1">
      <alignment horizontal="left" vertical="top" wrapText="1"/>
    </xf>
    <xf numFmtId="165" fontId="3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1" fillId="2" borderId="10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top" wrapText="1"/>
    </xf>
    <xf numFmtId="165" fontId="2" fillId="2" borderId="11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wrapText="1"/>
    </xf>
    <xf numFmtId="165" fontId="1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165" fontId="24" fillId="2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/>
    </xf>
    <xf numFmtId="165" fontId="25" fillId="2" borderId="0" xfId="0" applyNumberFormat="1" applyFont="1" applyFill="1" applyAlignment="1">
      <alignment horizontal="center"/>
    </xf>
    <xf numFmtId="165" fontId="19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1" fillId="0" borderId="9" xfId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20" fillId="2" borderId="0" xfId="0" applyNumberFormat="1" applyFont="1" applyFill="1" applyBorder="1"/>
    <xf numFmtId="165" fontId="0" fillId="2" borderId="0" xfId="0" applyNumberFormat="1" applyFill="1"/>
    <xf numFmtId="165" fontId="25" fillId="2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right" vertical="center"/>
    </xf>
    <xf numFmtId="0" fontId="51" fillId="0" borderId="0" xfId="0" applyNumberFormat="1" applyFont="1" applyFill="1" applyAlignment="1">
      <alignment horizontal="right" vertical="center"/>
    </xf>
    <xf numFmtId="0" fontId="52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Alignment="1">
      <alignment horizontal="right" vertical="center"/>
    </xf>
    <xf numFmtId="0" fontId="58" fillId="0" borderId="0" xfId="0" applyNumberFormat="1" applyFont="1" applyFill="1" applyAlignment="1">
      <alignment horizontal="right" vertical="center"/>
    </xf>
    <xf numFmtId="0" fontId="59" fillId="0" borderId="0" xfId="0" applyNumberFormat="1" applyFont="1" applyFill="1" applyAlignment="1">
      <alignment horizontal="right" vertical="center"/>
    </xf>
    <xf numFmtId="0" fontId="60" fillId="0" borderId="0" xfId="0" applyNumberFormat="1" applyFont="1" applyFill="1" applyAlignment="1">
      <alignment horizontal="right" vertical="center"/>
    </xf>
    <xf numFmtId="0" fontId="16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Alignment="1">
      <alignment horizontal="right" vertical="center"/>
    </xf>
    <xf numFmtId="165" fontId="30" fillId="0" borderId="0" xfId="0" applyNumberFormat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center"/>
    </xf>
    <xf numFmtId="165" fontId="1" fillId="2" borderId="6" xfId="1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5" fontId="7" fillId="2" borderId="0" xfId="1" applyNumberFormat="1" applyFont="1" applyFill="1"/>
    <xf numFmtId="165" fontId="44" fillId="2" borderId="0" xfId="1" applyNumberFormat="1" applyFont="1" applyFill="1"/>
    <xf numFmtId="165" fontId="12" fillId="2" borderId="0" xfId="1" applyNumberFormat="1" applyFont="1" applyFill="1"/>
    <xf numFmtId="165" fontId="41" fillId="2" borderId="0" xfId="0" applyNumberFormat="1" applyFont="1" applyFill="1"/>
    <xf numFmtId="165" fontId="46" fillId="2" borderId="0" xfId="0" applyNumberFormat="1" applyFont="1" applyFill="1"/>
    <xf numFmtId="0" fontId="7" fillId="2" borderId="0" xfId="0" applyFont="1" applyFill="1"/>
    <xf numFmtId="0" fontId="1" fillId="2" borderId="0" xfId="0" applyNumberFormat="1" applyFont="1" applyFill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" fillId="2" borderId="6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 wrapText="1"/>
    </xf>
    <xf numFmtId="1" fontId="2" fillId="2" borderId="0" xfId="1" applyNumberFormat="1" applyFont="1" applyFill="1" applyBorder="1" applyAlignment="1">
      <alignment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0" fontId="8" fillId="2" borderId="0" xfId="1" applyFill="1"/>
    <xf numFmtId="0" fontId="8" fillId="2" borderId="0" xfId="1" applyFont="1" applyFill="1"/>
    <xf numFmtId="0" fontId="7" fillId="2" borderId="0" xfId="1" applyFont="1" applyFill="1"/>
    <xf numFmtId="0" fontId="11" fillId="2" borderId="0" xfId="1" applyFont="1" applyFill="1" applyAlignment="1">
      <alignment horizontal="right"/>
    </xf>
    <xf numFmtId="0" fontId="7" fillId="2" borderId="0" xfId="1" applyFont="1" applyFill="1" applyAlignment="1"/>
    <xf numFmtId="0" fontId="7" fillId="2" borderId="0" xfId="1" applyFont="1" applyFill="1" applyAlignment="1">
      <alignment horizontal="right"/>
    </xf>
    <xf numFmtId="49" fontId="7" fillId="2" borderId="0" xfId="1" applyNumberFormat="1" applyFont="1" applyFill="1"/>
    <xf numFmtId="0" fontId="43" fillId="2" borderId="0" xfId="1" applyFont="1" applyFill="1"/>
    <xf numFmtId="0" fontId="44" fillId="2" borderId="0" xfId="1" applyFont="1" applyFill="1" applyAlignment="1"/>
    <xf numFmtId="49" fontId="44" fillId="2" borderId="0" xfId="1" applyNumberFormat="1" applyFont="1" applyFill="1"/>
    <xf numFmtId="1" fontId="7" fillId="2" borderId="0" xfId="1" applyNumberFormat="1" applyFont="1" applyFill="1"/>
    <xf numFmtId="0" fontId="24" fillId="2" borderId="0" xfId="0" applyFont="1" applyFill="1"/>
    <xf numFmtId="4" fontId="46" fillId="2" borderId="0" xfId="0" applyNumberFormat="1" applyFont="1" applyFill="1"/>
    <xf numFmtId="0" fontId="1" fillId="2" borderId="6" xfId="0" applyNumberFormat="1" applyFont="1" applyFill="1" applyBorder="1" applyAlignment="1">
      <alignment horizontal="center" vertical="center" wrapText="1"/>
    </xf>
    <xf numFmtId="165" fontId="1" fillId="4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54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ill="1"/>
    <xf numFmtId="0" fontId="28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right" vertical="center"/>
    </xf>
    <xf numFmtId="0" fontId="25" fillId="0" borderId="0" xfId="0" applyNumberFormat="1" applyFont="1" applyFill="1" applyAlignment="1">
      <alignment vertical="center"/>
    </xf>
    <xf numFmtId="167" fontId="25" fillId="0" borderId="0" xfId="0" applyNumberFormat="1" applyFont="1" applyFill="1" applyAlignment="1">
      <alignment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" fillId="2" borderId="1" xfId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18" xfId="0" applyNumberFormat="1" applyFill="1" applyBorder="1" applyAlignment="1">
      <alignment horizontal="left" vertical="center"/>
    </xf>
    <xf numFmtId="0" fontId="28" fillId="0" borderId="18" xfId="0" applyNumberFormat="1" applyFont="1" applyFill="1" applyBorder="1"/>
    <xf numFmtId="0" fontId="0" fillId="0" borderId="18" xfId="0" applyNumberFormat="1" applyFill="1" applyBorder="1"/>
    <xf numFmtId="165" fontId="0" fillId="0" borderId="18" xfId="0" applyNumberFormat="1" applyFill="1" applyBorder="1" applyAlignment="1">
      <alignment horizontal="right" vertical="center"/>
    </xf>
    <xf numFmtId="167" fontId="25" fillId="0" borderId="18" xfId="0" applyNumberFormat="1" applyFont="1" applyFill="1" applyBorder="1" applyAlignment="1">
      <alignment vertical="center"/>
    </xf>
    <xf numFmtId="167" fontId="25" fillId="0" borderId="18" xfId="0" applyNumberFormat="1" applyFont="1" applyFill="1" applyBorder="1" applyAlignment="1">
      <alignment horizontal="right" vertical="center"/>
    </xf>
    <xf numFmtId="167" fontId="25" fillId="0" borderId="18" xfId="0" applyNumberFormat="1" applyFont="1" applyFill="1" applyBorder="1" applyAlignment="1">
      <alignment horizontal="left" vertical="center"/>
    </xf>
    <xf numFmtId="0" fontId="25" fillId="0" borderId="18" xfId="0" applyNumberFormat="1" applyFont="1" applyFill="1" applyBorder="1" applyAlignment="1">
      <alignment vertical="center"/>
    </xf>
    <xf numFmtId="165" fontId="54" fillId="0" borderId="8" xfId="0" applyNumberFormat="1" applyFont="1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left" vertical="center"/>
    </xf>
    <xf numFmtId="0" fontId="28" fillId="0" borderId="8" xfId="0" applyNumberFormat="1" applyFont="1" applyFill="1" applyBorder="1"/>
    <xf numFmtId="0" fontId="0" fillId="0" borderId="8" xfId="0" applyNumberFormat="1" applyFill="1" applyBorder="1"/>
    <xf numFmtId="165" fontId="0" fillId="0" borderId="8" xfId="0" applyNumberFormat="1" applyFill="1" applyBorder="1" applyAlignment="1">
      <alignment horizontal="right" vertical="center"/>
    </xf>
    <xf numFmtId="167" fontId="25" fillId="0" borderId="8" xfId="0" applyNumberFormat="1" applyFont="1" applyFill="1" applyBorder="1" applyAlignment="1">
      <alignment vertical="center"/>
    </xf>
    <xf numFmtId="167" fontId="25" fillId="0" borderId="8" xfId="0" applyNumberFormat="1" applyFont="1" applyFill="1" applyBorder="1" applyAlignment="1">
      <alignment horizontal="right" vertical="center"/>
    </xf>
    <xf numFmtId="167" fontId="25" fillId="0" borderId="8" xfId="0" applyNumberFormat="1" applyFont="1" applyFill="1" applyBorder="1" applyAlignment="1">
      <alignment horizontal="left" vertical="center"/>
    </xf>
    <xf numFmtId="0" fontId="25" fillId="0" borderId="8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28" fillId="0" borderId="0" xfId="0" applyNumberFormat="1" applyFont="1" applyFill="1" applyBorder="1"/>
    <xf numFmtId="0" fontId="0" fillId="0" borderId="0" xfId="0" applyNumberFormat="1" applyFill="1" applyBorder="1"/>
    <xf numFmtId="165" fontId="0" fillId="0" borderId="0" xfId="0" applyNumberForma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68" fontId="11" fillId="2" borderId="0" xfId="1" applyNumberFormat="1" applyFont="1" applyFill="1" applyAlignment="1">
      <alignment horizontal="center"/>
    </xf>
    <xf numFmtId="49" fontId="7" fillId="2" borderId="0" xfId="1" applyNumberFormat="1" applyFont="1" applyFill="1" applyAlignment="1"/>
    <xf numFmtId="49" fontId="44" fillId="2" borderId="0" xfId="1" applyNumberFormat="1" applyFont="1" applyFill="1" applyAlignment="1"/>
    <xf numFmtId="165" fontId="37" fillId="0" borderId="0" xfId="0" applyNumberFormat="1" applyFont="1" applyFill="1" applyBorder="1" applyAlignment="1">
      <alignment vertical="center"/>
    </xf>
    <xf numFmtId="165" fontId="61" fillId="2" borderId="0" xfId="0" applyNumberFormat="1" applyFont="1" applyFill="1" applyAlignment="1">
      <alignment vertical="center"/>
    </xf>
    <xf numFmtId="0" fontId="62" fillId="2" borderId="0" xfId="0" applyNumberFormat="1" applyFont="1" applyFill="1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Alignment="1">
      <alignment horizontal="left" vertical="center"/>
    </xf>
    <xf numFmtId="165" fontId="1" fillId="2" borderId="6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0" fontId="2" fillId="0" borderId="0" xfId="0" applyFont="1" applyAlignment="1">
      <alignment horizontal="center" wrapText="1"/>
    </xf>
    <xf numFmtId="165" fontId="25" fillId="0" borderId="6" xfId="0" applyNumberFormat="1" applyFont="1" applyFill="1" applyBorder="1" applyAlignment="1">
      <alignment horizontal="center" vertical="top" wrapText="1"/>
    </xf>
    <xf numFmtId="165" fontId="25" fillId="0" borderId="9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25" fillId="0" borderId="6" xfId="0" applyNumberFormat="1" applyFont="1" applyFill="1" applyBorder="1" applyAlignment="1">
      <alignment horizontal="center" wrapText="1"/>
    </xf>
    <xf numFmtId="165" fontId="25" fillId="0" borderId="9" xfId="0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65" fontId="1" fillId="0" borderId="6" xfId="0" applyNumberFormat="1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165" fontId="1" fillId="2" borderId="0" xfId="0" applyNumberFormat="1" applyFont="1" applyFill="1" applyAlignment="1">
      <alignment horizontal="left" vertical="center"/>
    </xf>
    <xf numFmtId="165" fontId="10" fillId="0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7">
    <cellStyle name="Гиперссылка" xfId="3" builtinId="8"/>
    <cellStyle name="Обычный" xfId="0" builtinId="0"/>
    <cellStyle name="Обычный 2" xfId="1"/>
    <cellStyle name="Процентный 2" xfId="4"/>
    <cellStyle name="Процентный 2 2" xfId="6"/>
    <cellStyle name="Финансовый" xfId="2" builtinId="3"/>
    <cellStyle name="Финансовый 2" xfId="5"/>
  </cellStyles>
  <dxfs count="0"/>
  <tableStyles count="0" defaultTableStyle="TableStyleMedium2" defaultPivotStyle="PivotStyleMedium9"/>
  <colors>
    <mruColors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1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"/>
  <sheetViews>
    <sheetView view="pageBreakPreview" zoomScale="90" zoomScaleNormal="90" zoomScaleSheetLayoutView="90" workbookViewId="0">
      <selection activeCell="C3" sqref="C3"/>
    </sheetView>
  </sheetViews>
  <sheetFormatPr defaultColWidth="9.140625" defaultRowHeight="15" x14ac:dyDescent="0.25"/>
  <cols>
    <col min="1" max="1" width="27" style="360" customWidth="1"/>
    <col min="2" max="2" width="79.140625" style="360" customWidth="1"/>
    <col min="3" max="3" width="13.7109375" style="435" customWidth="1"/>
    <col min="4" max="4" width="16.28515625" style="447" customWidth="1"/>
    <col min="5" max="5" width="13" style="447" customWidth="1"/>
    <col min="6" max="6" width="16.42578125" style="323" customWidth="1"/>
    <col min="7" max="7" width="20.5703125" style="248" customWidth="1"/>
    <col min="8" max="8" width="18.7109375" style="60" customWidth="1"/>
    <col min="9" max="9" width="20.28515625" style="60" customWidth="1"/>
    <col min="10" max="10" width="16.42578125" style="172" customWidth="1"/>
    <col min="11" max="11" width="16.42578125" style="182" customWidth="1"/>
    <col min="12" max="12" width="9.85546875" style="182" customWidth="1"/>
    <col min="13" max="13" width="14.5703125" style="182" bestFit="1" customWidth="1"/>
    <col min="14" max="14" width="9.140625" style="182"/>
    <col min="15" max="15" width="24" style="182" customWidth="1"/>
    <col min="16" max="16384" width="9.140625" style="60"/>
  </cols>
  <sheetData>
    <row r="1" spans="1:11" ht="15" customHeight="1" x14ac:dyDescent="0.25"/>
    <row r="2" spans="1:11" ht="15" customHeight="1" x14ac:dyDescent="0.25">
      <c r="B2" s="582"/>
      <c r="C2" s="582"/>
      <c r="D2" s="627" t="s">
        <v>1159</v>
      </c>
      <c r="E2" s="627"/>
    </row>
    <row r="3" spans="1:11" ht="15.75" customHeight="1" x14ac:dyDescent="0.25">
      <c r="B3" s="582"/>
      <c r="C3" s="582"/>
      <c r="D3" s="627" t="s">
        <v>1049</v>
      </c>
      <c r="E3" s="627"/>
    </row>
    <row r="4" spans="1:11" ht="20.25" x14ac:dyDescent="0.25">
      <c r="B4" s="582"/>
      <c r="C4" s="582"/>
      <c r="D4" s="627" t="s">
        <v>1162</v>
      </c>
      <c r="E4" s="627"/>
    </row>
    <row r="5" spans="1:11" ht="18.75" x14ac:dyDescent="0.3">
      <c r="A5" s="583" t="s">
        <v>1161</v>
      </c>
      <c r="B5" s="583"/>
      <c r="C5" s="583"/>
      <c r="D5" s="583"/>
      <c r="E5" s="583"/>
      <c r="K5" s="192"/>
    </row>
    <row r="6" spans="1:11" ht="16.149999999999999" customHeight="1" x14ac:dyDescent="0.25">
      <c r="A6" s="361"/>
      <c r="B6" s="361"/>
      <c r="C6" s="362"/>
      <c r="E6" s="448"/>
      <c r="K6" s="192"/>
    </row>
    <row r="7" spans="1:11" x14ac:dyDescent="0.25">
      <c r="A7" s="584" t="s">
        <v>242</v>
      </c>
      <c r="B7" s="586" t="s">
        <v>234</v>
      </c>
      <c r="C7" s="590" t="s">
        <v>1127</v>
      </c>
      <c r="D7" s="590" t="s">
        <v>1128</v>
      </c>
      <c r="E7" s="590" t="s">
        <v>1129</v>
      </c>
    </row>
    <row r="8" spans="1:11" ht="38.450000000000003" customHeight="1" x14ac:dyDescent="0.25">
      <c r="A8" s="585"/>
      <c r="B8" s="586"/>
      <c r="C8" s="591"/>
      <c r="D8" s="591"/>
      <c r="E8" s="591"/>
      <c r="G8" s="249"/>
      <c r="H8" s="58"/>
      <c r="J8" s="173"/>
    </row>
    <row r="9" spans="1:11" ht="15.75" x14ac:dyDescent="0.25">
      <c r="A9" s="363" t="s">
        <v>0</v>
      </c>
      <c r="B9" s="364" t="s">
        <v>1</v>
      </c>
      <c r="C9" s="343">
        <f>C10+C19+C24+C34+C41+C46+C54+C61+C66+C71+C89</f>
        <v>446829.4</v>
      </c>
      <c r="D9" s="566">
        <f>D10+D19+D24+D34+D41+D46+D54+D61+D66+D71+D89</f>
        <v>475205.18321000005</v>
      </c>
      <c r="E9" s="343">
        <f>D9/C9*100</f>
        <v>106.3504736281901</v>
      </c>
      <c r="F9" s="324"/>
      <c r="G9" s="249"/>
      <c r="H9" s="58"/>
      <c r="I9" s="58"/>
      <c r="J9" s="173"/>
    </row>
    <row r="10" spans="1:11" ht="15.75" x14ac:dyDescent="0.25">
      <c r="A10" s="365" t="s">
        <v>2</v>
      </c>
      <c r="B10" s="364" t="s">
        <v>3</v>
      </c>
      <c r="C10" s="343">
        <f>C11</f>
        <v>339864</v>
      </c>
      <c r="D10" s="566">
        <f>D11</f>
        <v>375733.80367999995</v>
      </c>
      <c r="E10" s="343">
        <f t="shared" ref="E10:E72" si="0">D10/C10*100</f>
        <v>110.55416392439328</v>
      </c>
      <c r="F10" s="324"/>
      <c r="G10" s="249"/>
      <c r="H10" s="58"/>
      <c r="I10" s="58"/>
      <c r="J10" s="173"/>
    </row>
    <row r="11" spans="1:11" ht="15.75" x14ac:dyDescent="0.25">
      <c r="A11" s="366" t="s">
        <v>4</v>
      </c>
      <c r="B11" s="367" t="s">
        <v>5</v>
      </c>
      <c r="C11" s="343">
        <f>SUM(C12:C18)</f>
        <v>339864</v>
      </c>
      <c r="D11" s="343">
        <f>SUM(D12:D18)</f>
        <v>375733.80367999995</v>
      </c>
      <c r="E11" s="343">
        <f t="shared" si="0"/>
        <v>110.55416392439328</v>
      </c>
    </row>
    <row r="12" spans="1:11" ht="63" x14ac:dyDescent="0.25">
      <c r="A12" s="368" t="s">
        <v>6</v>
      </c>
      <c r="B12" s="369" t="s">
        <v>7</v>
      </c>
      <c r="C12" s="342">
        <f>261106+10000-10000</f>
        <v>261106</v>
      </c>
      <c r="D12" s="342">
        <v>284358.32475999999</v>
      </c>
      <c r="E12" s="342">
        <f t="shared" si="0"/>
        <v>108.90531996966747</v>
      </c>
    </row>
    <row r="13" spans="1:11" ht="36.75" customHeight="1" x14ac:dyDescent="0.25">
      <c r="A13" s="368" t="s">
        <v>8</v>
      </c>
      <c r="B13" s="370" t="s">
        <v>9</v>
      </c>
      <c r="C13" s="342">
        <v>488</v>
      </c>
      <c r="D13" s="342">
        <v>702.05231000000003</v>
      </c>
      <c r="E13" s="342">
        <f t="shared" si="0"/>
        <v>143.86317827868854</v>
      </c>
    </row>
    <row r="14" spans="1:11" ht="47.25" x14ac:dyDescent="0.25">
      <c r="A14" s="368" t="s">
        <v>10</v>
      </c>
      <c r="B14" s="370" t="s">
        <v>11</v>
      </c>
      <c r="C14" s="342">
        <v>6676</v>
      </c>
      <c r="D14" s="342">
        <v>-8.3572399999999991</v>
      </c>
      <c r="E14" s="342">
        <f t="shared" si="0"/>
        <v>-0.12518334331935291</v>
      </c>
    </row>
    <row r="15" spans="1:11" ht="78.75" x14ac:dyDescent="0.25">
      <c r="A15" s="368" t="s">
        <v>12</v>
      </c>
      <c r="B15" s="370" t="s">
        <v>13</v>
      </c>
      <c r="C15" s="342">
        <v>15</v>
      </c>
      <c r="D15" s="342">
        <v>30.2196</v>
      </c>
      <c r="E15" s="342">
        <f t="shared" si="0"/>
        <v>201.464</v>
      </c>
      <c r="F15" s="325"/>
    </row>
    <row r="16" spans="1:11" ht="95.25" customHeight="1" x14ac:dyDescent="0.25">
      <c r="A16" s="371" t="s">
        <v>741</v>
      </c>
      <c r="B16" s="372" t="s">
        <v>771</v>
      </c>
      <c r="C16" s="373">
        <f>10655+24000</f>
        <v>34655</v>
      </c>
      <c r="D16" s="373">
        <v>49968.432460000004</v>
      </c>
      <c r="E16" s="342">
        <f t="shared" si="0"/>
        <v>144.18823390564134</v>
      </c>
      <c r="F16" s="325"/>
    </row>
    <row r="17" spans="1:9" ht="75.75" customHeight="1" x14ac:dyDescent="0.25">
      <c r="A17" s="368" t="s">
        <v>1093</v>
      </c>
      <c r="B17" s="374" t="s">
        <v>1095</v>
      </c>
      <c r="C17" s="342">
        <v>230</v>
      </c>
      <c r="D17" s="342">
        <v>419.1318</v>
      </c>
      <c r="E17" s="342">
        <f t="shared" si="0"/>
        <v>182.23121739130434</v>
      </c>
      <c r="F17" s="325"/>
    </row>
    <row r="18" spans="1:9" ht="63" x14ac:dyDescent="0.25">
      <c r="A18" s="368" t="s">
        <v>1094</v>
      </c>
      <c r="B18" s="374" t="s">
        <v>1096</v>
      </c>
      <c r="C18" s="342">
        <v>36694</v>
      </c>
      <c r="D18" s="342">
        <v>40263.999989999997</v>
      </c>
      <c r="E18" s="342">
        <f t="shared" si="0"/>
        <v>109.72911099907341</v>
      </c>
      <c r="G18" s="253"/>
      <c r="H18" s="253"/>
      <c r="I18" s="254"/>
    </row>
    <row r="19" spans="1:9" ht="31.5" x14ac:dyDescent="0.25">
      <c r="A19" s="375" t="s">
        <v>14</v>
      </c>
      <c r="B19" s="376" t="s">
        <v>15</v>
      </c>
      <c r="C19" s="377">
        <f>C20</f>
        <v>3795.3</v>
      </c>
      <c r="D19" s="571">
        <f>D20</f>
        <v>3893.5935700000005</v>
      </c>
      <c r="E19" s="343">
        <f t="shared" si="0"/>
        <v>102.5898761626222</v>
      </c>
      <c r="F19" s="325"/>
      <c r="G19" s="252"/>
      <c r="H19" s="251"/>
      <c r="I19" s="251"/>
    </row>
    <row r="20" spans="1:9" ht="100.5" customHeight="1" x14ac:dyDescent="0.25">
      <c r="A20" s="378" t="s">
        <v>16</v>
      </c>
      <c r="B20" s="379" t="s">
        <v>17</v>
      </c>
      <c r="C20" s="343">
        <f>SUM(C21:C23)</f>
        <v>3795.3</v>
      </c>
      <c r="D20" s="343">
        <f>SUM(D21:D23)</f>
        <v>3893.5935700000005</v>
      </c>
      <c r="E20" s="343">
        <f t="shared" si="0"/>
        <v>102.5898761626222</v>
      </c>
      <c r="G20" s="255"/>
      <c r="H20" s="255"/>
      <c r="I20" s="255"/>
    </row>
    <row r="21" spans="1:9" ht="117" customHeight="1" x14ac:dyDescent="0.25">
      <c r="A21" s="380" t="s">
        <v>683</v>
      </c>
      <c r="B21" s="370" t="s">
        <v>688</v>
      </c>
      <c r="C21" s="342">
        <f>1865.4-70.4+62.8</f>
        <v>1857.8</v>
      </c>
      <c r="D21" s="342">
        <v>2017.4831200000001</v>
      </c>
      <c r="E21" s="342">
        <f t="shared" si="0"/>
        <v>108.59528043922921</v>
      </c>
      <c r="G21" s="255"/>
      <c r="H21" s="255"/>
      <c r="I21" s="255"/>
    </row>
    <row r="22" spans="1:9" ht="98.45" customHeight="1" x14ac:dyDescent="0.25">
      <c r="A22" s="381" t="s">
        <v>684</v>
      </c>
      <c r="B22" s="370" t="s">
        <v>689</v>
      </c>
      <c r="C22" s="342">
        <f>10.4-1.2+0.1</f>
        <v>9.3000000000000007</v>
      </c>
      <c r="D22" s="342">
        <v>10.53708</v>
      </c>
      <c r="E22" s="342">
        <f t="shared" si="0"/>
        <v>113.30193548387095</v>
      </c>
      <c r="G22" s="255"/>
      <c r="H22" s="255"/>
      <c r="I22" s="255"/>
    </row>
    <row r="23" spans="1:9" ht="110.25" x14ac:dyDescent="0.25">
      <c r="A23" s="381" t="s">
        <v>685</v>
      </c>
      <c r="B23" s="370" t="s">
        <v>690</v>
      </c>
      <c r="C23" s="342">
        <f>1469.2+468.7-9.7</f>
        <v>1928.2</v>
      </c>
      <c r="D23" s="565">
        <f>2085.22614-219.65277</f>
        <v>1865.5733700000003</v>
      </c>
      <c r="E23" s="342">
        <f t="shared" si="0"/>
        <v>96.75206773156313</v>
      </c>
      <c r="F23" s="326"/>
    </row>
    <row r="24" spans="1:9" ht="15.75" x14ac:dyDescent="0.25">
      <c r="A24" s="366" t="s">
        <v>18</v>
      </c>
      <c r="B24" s="367" t="s">
        <v>19</v>
      </c>
      <c r="C24" s="343">
        <f>SUM(C25+C30+C32)</f>
        <v>44539</v>
      </c>
      <c r="D24" s="566">
        <f>SUM(D25+D30+D32)</f>
        <v>30235.921730000002</v>
      </c>
      <c r="E24" s="343">
        <f t="shared" si="0"/>
        <v>67.886395585891023</v>
      </c>
    </row>
    <row r="25" spans="1:9" ht="31.5" x14ac:dyDescent="0.25">
      <c r="A25" s="363" t="s">
        <v>20</v>
      </c>
      <c r="B25" s="367" t="s">
        <v>21</v>
      </c>
      <c r="C25" s="343">
        <f>C26+C28</f>
        <v>38861</v>
      </c>
      <c r="D25" s="343">
        <f>D26+D28</f>
        <v>28424.551090000001</v>
      </c>
      <c r="E25" s="343">
        <f t="shared" si="0"/>
        <v>73.144157613031055</v>
      </c>
    </row>
    <row r="26" spans="1:9" ht="31.5" x14ac:dyDescent="0.25">
      <c r="A26" s="363" t="s">
        <v>524</v>
      </c>
      <c r="B26" s="382" t="s">
        <v>23</v>
      </c>
      <c r="C26" s="343">
        <f>C27</f>
        <v>34371</v>
      </c>
      <c r="D26" s="343">
        <f>D27</f>
        <v>25012.279279999999</v>
      </c>
      <c r="E26" s="343">
        <f t="shared" si="0"/>
        <v>72.771462221058442</v>
      </c>
    </row>
    <row r="27" spans="1:9" ht="36.75" customHeight="1" x14ac:dyDescent="0.25">
      <c r="A27" s="383" t="s">
        <v>22</v>
      </c>
      <c r="B27" s="384" t="s">
        <v>23</v>
      </c>
      <c r="C27" s="342">
        <v>34371</v>
      </c>
      <c r="D27" s="342">
        <v>25012.279279999999</v>
      </c>
      <c r="E27" s="342">
        <f t="shared" si="0"/>
        <v>72.771462221058442</v>
      </c>
    </row>
    <row r="28" spans="1:9" ht="50.25" customHeight="1" x14ac:dyDescent="0.25">
      <c r="A28" s="363" t="s">
        <v>523</v>
      </c>
      <c r="B28" s="385" t="s">
        <v>522</v>
      </c>
      <c r="C28" s="343">
        <f>C29</f>
        <v>4490</v>
      </c>
      <c r="D28" s="343">
        <f>D29</f>
        <v>3412.2718100000002</v>
      </c>
      <c r="E28" s="343">
        <f t="shared" si="0"/>
        <v>75.99714498886415</v>
      </c>
    </row>
    <row r="29" spans="1:9" ht="15.6" customHeight="1" x14ac:dyDescent="0.25">
      <c r="A29" s="383" t="s">
        <v>24</v>
      </c>
      <c r="B29" s="386" t="s">
        <v>25</v>
      </c>
      <c r="C29" s="342">
        <v>4490</v>
      </c>
      <c r="D29" s="342">
        <v>3412.2718100000002</v>
      </c>
      <c r="E29" s="342">
        <f t="shared" si="0"/>
        <v>75.99714498886415</v>
      </c>
    </row>
    <row r="30" spans="1:9" ht="15.6" customHeight="1" x14ac:dyDescent="0.25">
      <c r="A30" s="366" t="s">
        <v>1137</v>
      </c>
      <c r="B30" s="387" t="s">
        <v>1138</v>
      </c>
      <c r="C30" s="343">
        <f>SUM(C31:C31)</f>
        <v>0</v>
      </c>
      <c r="D30" s="343">
        <f>SUM(D31:D31)</f>
        <v>-46.982579999999999</v>
      </c>
      <c r="E30" s="342" t="s">
        <v>1141</v>
      </c>
    </row>
    <row r="31" spans="1:9" ht="47.25" x14ac:dyDescent="0.25">
      <c r="A31" s="368" t="s">
        <v>1140</v>
      </c>
      <c r="B31" s="410" t="s">
        <v>1139</v>
      </c>
      <c r="C31" s="342">
        <v>0</v>
      </c>
      <c r="D31" s="342">
        <v>-46.982579999999999</v>
      </c>
      <c r="E31" s="342" t="s">
        <v>1141</v>
      </c>
    </row>
    <row r="32" spans="1:9" ht="31.5" x14ac:dyDescent="0.25">
      <c r="A32" s="363" t="s">
        <v>529</v>
      </c>
      <c r="B32" s="388" t="s">
        <v>525</v>
      </c>
      <c r="C32" s="343">
        <f>C33</f>
        <v>5678</v>
      </c>
      <c r="D32" s="343">
        <f>D33</f>
        <v>1858.35322</v>
      </c>
      <c r="E32" s="343">
        <f t="shared" si="0"/>
        <v>32.729010567101092</v>
      </c>
    </row>
    <row r="33" spans="1:6" ht="31.5" x14ac:dyDescent="0.25">
      <c r="A33" s="368" t="s">
        <v>907</v>
      </c>
      <c r="B33" s="389" t="s">
        <v>908</v>
      </c>
      <c r="C33" s="342">
        <v>5678</v>
      </c>
      <c r="D33" s="342">
        <v>1858.35322</v>
      </c>
      <c r="E33" s="342">
        <f t="shared" si="0"/>
        <v>32.729010567101092</v>
      </c>
    </row>
    <row r="34" spans="1:6" ht="63.75" customHeight="1" x14ac:dyDescent="0.25">
      <c r="A34" s="366" t="s">
        <v>26</v>
      </c>
      <c r="B34" s="367" t="s">
        <v>27</v>
      </c>
      <c r="C34" s="343">
        <f>C35+C36</f>
        <v>1999</v>
      </c>
      <c r="D34" s="566">
        <f>D35+D36</f>
        <v>1906.9302</v>
      </c>
      <c r="E34" s="343">
        <f t="shared" si="0"/>
        <v>95.394207103551778</v>
      </c>
    </row>
    <row r="35" spans="1:6" ht="31.7" customHeight="1" x14ac:dyDescent="0.25">
      <c r="A35" s="368" t="s">
        <v>909</v>
      </c>
      <c r="B35" s="386" t="s">
        <v>910</v>
      </c>
      <c r="C35" s="342">
        <v>1244</v>
      </c>
      <c r="D35" s="342">
        <v>1130.42317</v>
      </c>
      <c r="E35" s="342">
        <f t="shared" si="0"/>
        <v>90.870029742765283</v>
      </c>
    </row>
    <row r="36" spans="1:6" ht="15.75" x14ac:dyDescent="0.25">
      <c r="A36" s="366" t="s">
        <v>28</v>
      </c>
      <c r="B36" s="387" t="s">
        <v>29</v>
      </c>
      <c r="C36" s="343">
        <f>C37+C39</f>
        <v>755</v>
      </c>
      <c r="D36" s="343">
        <f>D37+D39</f>
        <v>776.50702999999999</v>
      </c>
      <c r="E36" s="343">
        <f t="shared" si="0"/>
        <v>102.84861324503312</v>
      </c>
    </row>
    <row r="37" spans="1:6" ht="15.75" x14ac:dyDescent="0.25">
      <c r="A37" s="366" t="s">
        <v>531</v>
      </c>
      <c r="B37" s="367" t="s">
        <v>530</v>
      </c>
      <c r="C37" s="343">
        <f>C38</f>
        <v>612</v>
      </c>
      <c r="D37" s="343">
        <f>D38</f>
        <v>673.91168000000005</v>
      </c>
      <c r="E37" s="343">
        <f t="shared" si="0"/>
        <v>110.11628758169935</v>
      </c>
    </row>
    <row r="38" spans="1:6" ht="31.5" x14ac:dyDescent="0.25">
      <c r="A38" s="368" t="s">
        <v>911</v>
      </c>
      <c r="B38" s="386" t="s">
        <v>969</v>
      </c>
      <c r="C38" s="342">
        <v>612</v>
      </c>
      <c r="D38" s="342">
        <v>673.91168000000005</v>
      </c>
      <c r="E38" s="342">
        <f t="shared" si="0"/>
        <v>110.11628758169935</v>
      </c>
    </row>
    <row r="39" spans="1:6" ht="15.75" x14ac:dyDescent="0.25">
      <c r="A39" s="366" t="s">
        <v>533</v>
      </c>
      <c r="B39" s="367" t="s">
        <v>532</v>
      </c>
      <c r="C39" s="343">
        <f>C40</f>
        <v>143</v>
      </c>
      <c r="D39" s="343">
        <f>D40</f>
        <v>102.59535</v>
      </c>
      <c r="E39" s="343">
        <f t="shared" si="0"/>
        <v>71.74499999999999</v>
      </c>
    </row>
    <row r="40" spans="1:6" ht="31.5" x14ac:dyDescent="0.25">
      <c r="A40" s="368" t="s">
        <v>912</v>
      </c>
      <c r="B40" s="386" t="s">
        <v>970</v>
      </c>
      <c r="C40" s="342">
        <v>143</v>
      </c>
      <c r="D40" s="342">
        <v>102.59535</v>
      </c>
      <c r="E40" s="342">
        <f t="shared" si="0"/>
        <v>71.74499999999999</v>
      </c>
    </row>
    <row r="41" spans="1:6" ht="37.5" customHeight="1" x14ac:dyDescent="0.25">
      <c r="A41" s="366" t="s">
        <v>30</v>
      </c>
      <c r="B41" s="367" t="s">
        <v>31</v>
      </c>
      <c r="C41" s="343">
        <f>C42+C44</f>
        <v>1558</v>
      </c>
      <c r="D41" s="566">
        <f t="shared" ref="D41" si="1">D42+D44</f>
        <v>1503.0828899999999</v>
      </c>
      <c r="E41" s="343">
        <f t="shared" si="0"/>
        <v>96.475153401797158</v>
      </c>
    </row>
    <row r="42" spans="1:6" ht="47.25" x14ac:dyDescent="0.25">
      <c r="A42" s="366" t="s">
        <v>32</v>
      </c>
      <c r="B42" s="367" t="s">
        <v>1035</v>
      </c>
      <c r="C42" s="343">
        <f>C43</f>
        <v>1553</v>
      </c>
      <c r="D42" s="343">
        <f>D43</f>
        <v>1503.0828899999999</v>
      </c>
      <c r="E42" s="343">
        <f t="shared" si="0"/>
        <v>96.785762395363804</v>
      </c>
    </row>
    <row r="43" spans="1:6" ht="47.25" x14ac:dyDescent="0.25">
      <c r="A43" s="368" t="s">
        <v>33</v>
      </c>
      <c r="B43" s="369" t="s">
        <v>34</v>
      </c>
      <c r="C43" s="342">
        <v>1553</v>
      </c>
      <c r="D43" s="342">
        <v>1503.0828899999999</v>
      </c>
      <c r="E43" s="342">
        <f t="shared" si="0"/>
        <v>96.785762395363804</v>
      </c>
    </row>
    <row r="44" spans="1:6" ht="31.5" x14ac:dyDescent="0.25">
      <c r="A44" s="366" t="s">
        <v>913</v>
      </c>
      <c r="B44" s="390" t="s">
        <v>971</v>
      </c>
      <c r="C44" s="343">
        <f>C45</f>
        <v>5</v>
      </c>
      <c r="D44" s="343">
        <f t="shared" ref="D44" si="2">D45</f>
        <v>0</v>
      </c>
      <c r="E44" s="343">
        <f t="shared" si="0"/>
        <v>0</v>
      </c>
      <c r="F44" s="324"/>
    </row>
    <row r="45" spans="1:6" ht="31.5" x14ac:dyDescent="0.25">
      <c r="A45" s="368" t="s">
        <v>914</v>
      </c>
      <c r="B45" s="369" t="s">
        <v>972</v>
      </c>
      <c r="C45" s="342">
        <v>5</v>
      </c>
      <c r="D45" s="342">
        <v>0</v>
      </c>
      <c r="E45" s="342">
        <f t="shared" si="0"/>
        <v>0</v>
      </c>
    </row>
    <row r="46" spans="1:6" ht="31.5" x14ac:dyDescent="0.25">
      <c r="A46" s="366" t="s">
        <v>35</v>
      </c>
      <c r="B46" s="390" t="s">
        <v>36</v>
      </c>
      <c r="C46" s="343">
        <f>C47+C52</f>
        <v>49949</v>
      </c>
      <c r="D46" s="566">
        <f>D47+D52</f>
        <v>53241.266029999999</v>
      </c>
      <c r="E46" s="343">
        <f t="shared" si="0"/>
        <v>106.59125514024304</v>
      </c>
    </row>
    <row r="47" spans="1:6" ht="78.75" x14ac:dyDescent="0.25">
      <c r="A47" s="366" t="s">
        <v>37</v>
      </c>
      <c r="B47" s="390" t="s">
        <v>973</v>
      </c>
      <c r="C47" s="343">
        <f>C48+C50</f>
        <v>49948.800000000003</v>
      </c>
      <c r="D47" s="566">
        <f>D48+D50</f>
        <v>53241.266029999999</v>
      </c>
      <c r="E47" s="343">
        <f t="shared" si="0"/>
        <v>106.59168194230892</v>
      </c>
    </row>
    <row r="48" spans="1:6" ht="36.75" customHeight="1" x14ac:dyDescent="0.25">
      <c r="A48" s="366" t="s">
        <v>38</v>
      </c>
      <c r="B48" s="367" t="s">
        <v>974</v>
      </c>
      <c r="C48" s="343">
        <f>C49</f>
        <v>47478</v>
      </c>
      <c r="D48" s="343">
        <f>D49</f>
        <v>50595.970529999999</v>
      </c>
      <c r="E48" s="343">
        <f t="shared" si="0"/>
        <v>106.56719013016556</v>
      </c>
    </row>
    <row r="49" spans="1:6" ht="94.5" x14ac:dyDescent="0.25">
      <c r="A49" s="368" t="s">
        <v>915</v>
      </c>
      <c r="B49" s="386" t="s">
        <v>916</v>
      </c>
      <c r="C49" s="342">
        <v>47478</v>
      </c>
      <c r="D49" s="342">
        <v>50595.970529999999</v>
      </c>
      <c r="E49" s="342">
        <f t="shared" si="0"/>
        <v>106.56719013016556</v>
      </c>
    </row>
    <row r="50" spans="1:6" ht="31.5" x14ac:dyDescent="0.25">
      <c r="A50" s="366" t="s">
        <v>39</v>
      </c>
      <c r="B50" s="367" t="s">
        <v>40</v>
      </c>
      <c r="C50" s="343">
        <f>C51</f>
        <v>2470.8000000000002</v>
      </c>
      <c r="D50" s="343">
        <f>D51</f>
        <v>2645.2955000000002</v>
      </c>
      <c r="E50" s="343">
        <f t="shared" si="0"/>
        <v>107.06230775457341</v>
      </c>
    </row>
    <row r="51" spans="1:6" ht="31.5" x14ac:dyDescent="0.25">
      <c r="A51" s="368" t="s">
        <v>917</v>
      </c>
      <c r="B51" s="386" t="s">
        <v>975</v>
      </c>
      <c r="C51" s="342">
        <f>4000-1529.2</f>
        <v>2470.8000000000002</v>
      </c>
      <c r="D51" s="342">
        <v>2645.2955000000002</v>
      </c>
      <c r="E51" s="342">
        <f t="shared" si="0"/>
        <v>107.06230775457341</v>
      </c>
    </row>
    <row r="52" spans="1:6" ht="47.25" x14ac:dyDescent="0.25">
      <c r="A52" s="366" t="s">
        <v>918</v>
      </c>
      <c r="B52" s="367" t="s">
        <v>977</v>
      </c>
      <c r="C52" s="343">
        <f>C53</f>
        <v>0.2</v>
      </c>
      <c r="D52" s="343">
        <f>D53</f>
        <v>0</v>
      </c>
      <c r="E52" s="343">
        <f t="shared" si="0"/>
        <v>0</v>
      </c>
    </row>
    <row r="53" spans="1:6" ht="78.75" x14ac:dyDescent="0.25">
      <c r="A53" s="368" t="s">
        <v>919</v>
      </c>
      <c r="B53" s="386" t="s">
        <v>976</v>
      </c>
      <c r="C53" s="342">
        <v>0.2</v>
      </c>
      <c r="D53" s="342">
        <v>0</v>
      </c>
      <c r="E53" s="342">
        <f t="shared" si="0"/>
        <v>0</v>
      </c>
      <c r="F53" s="325"/>
    </row>
    <row r="54" spans="1:6" ht="15.75" x14ac:dyDescent="0.25">
      <c r="A54" s="366" t="s">
        <v>41</v>
      </c>
      <c r="B54" s="390" t="s">
        <v>42</v>
      </c>
      <c r="C54" s="343">
        <f>SUM(C55)</f>
        <v>859.19999999999993</v>
      </c>
      <c r="D54" s="566">
        <f t="shared" ref="D54" si="3">SUM(D55)</f>
        <v>621.15872999999999</v>
      </c>
      <c r="E54" s="343">
        <f t="shared" si="0"/>
        <v>72.295010474860348</v>
      </c>
    </row>
    <row r="55" spans="1:6" ht="15.75" x14ac:dyDescent="0.25">
      <c r="A55" s="366" t="s">
        <v>43</v>
      </c>
      <c r="B55" s="390" t="s">
        <v>44</v>
      </c>
      <c r="C55" s="343">
        <f>C56+C57+C58</f>
        <v>859.19999999999993</v>
      </c>
      <c r="D55" s="343">
        <f t="shared" ref="D55" si="4">D56+D57+D58</f>
        <v>621.15872999999999</v>
      </c>
      <c r="E55" s="343">
        <f t="shared" si="0"/>
        <v>72.295010474860348</v>
      </c>
    </row>
    <row r="56" spans="1:6" ht="23.45" customHeight="1" x14ac:dyDescent="0.25">
      <c r="A56" s="366" t="s">
        <v>45</v>
      </c>
      <c r="B56" s="391" t="s">
        <v>46</v>
      </c>
      <c r="C56" s="342">
        <f>162.9-42.3</f>
        <v>120.60000000000001</v>
      </c>
      <c r="D56" s="342">
        <v>168.27538999999999</v>
      </c>
      <c r="E56" s="342">
        <f t="shared" si="0"/>
        <v>139.53183250414591</v>
      </c>
    </row>
    <row r="57" spans="1:6" ht="18" customHeight="1" x14ac:dyDescent="0.25">
      <c r="A57" s="366" t="s">
        <v>47</v>
      </c>
      <c r="B57" s="391" t="s">
        <v>48</v>
      </c>
      <c r="C57" s="342">
        <f>203.2-183.4</f>
        <v>19.799999999999983</v>
      </c>
      <c r="D57" s="342">
        <v>-97.938640000000007</v>
      </c>
      <c r="E57" s="342">
        <f t="shared" si="0"/>
        <v>-494.63959595959642</v>
      </c>
    </row>
    <row r="58" spans="1:6" ht="16.899999999999999" customHeight="1" x14ac:dyDescent="0.25">
      <c r="A58" s="366" t="s">
        <v>658</v>
      </c>
      <c r="B58" s="391" t="s">
        <v>526</v>
      </c>
      <c r="C58" s="343">
        <f>C59+C60</f>
        <v>718.8</v>
      </c>
      <c r="D58" s="343">
        <f>D59+D60</f>
        <v>550.82198000000005</v>
      </c>
      <c r="E58" s="343">
        <f t="shared" si="0"/>
        <v>76.630770728992786</v>
      </c>
    </row>
    <row r="59" spans="1:6" ht="15.75" x14ac:dyDescent="0.25">
      <c r="A59" s="368" t="s">
        <v>277</v>
      </c>
      <c r="B59" s="369" t="s">
        <v>278</v>
      </c>
      <c r="C59" s="342">
        <f>213.7+464.9</f>
        <v>678.59999999999991</v>
      </c>
      <c r="D59" s="342">
        <v>550.82198000000005</v>
      </c>
      <c r="E59" s="342">
        <f t="shared" si="0"/>
        <v>81.17034777483056</v>
      </c>
    </row>
    <row r="60" spans="1:6" ht="15.75" x14ac:dyDescent="0.25">
      <c r="A60" s="368" t="s">
        <v>279</v>
      </c>
      <c r="B60" s="369" t="s">
        <v>280</v>
      </c>
      <c r="C60" s="342">
        <f>32+8.2</f>
        <v>40.200000000000003</v>
      </c>
      <c r="D60" s="342">
        <v>0</v>
      </c>
      <c r="E60" s="342">
        <f t="shared" si="0"/>
        <v>0</v>
      </c>
    </row>
    <row r="61" spans="1:6" ht="31.5" x14ac:dyDescent="0.25">
      <c r="A61" s="366" t="s">
        <v>49</v>
      </c>
      <c r="B61" s="390" t="s">
        <v>50</v>
      </c>
      <c r="C61" s="343">
        <f>C63+C64</f>
        <v>2162</v>
      </c>
      <c r="D61" s="566">
        <f t="shared" ref="D61" si="5">D63+D64</f>
        <v>4404.84051</v>
      </c>
      <c r="E61" s="343">
        <f t="shared" si="0"/>
        <v>203.7391540240518</v>
      </c>
    </row>
    <row r="62" spans="1:6" ht="15.75" x14ac:dyDescent="0.25">
      <c r="A62" s="366" t="s">
        <v>51</v>
      </c>
      <c r="B62" s="390" t="s">
        <v>52</v>
      </c>
      <c r="C62" s="343">
        <f>C63</f>
        <v>2107</v>
      </c>
      <c r="D62" s="566">
        <f>D63</f>
        <v>4336.2675099999997</v>
      </c>
      <c r="E62" s="343">
        <f t="shared" si="0"/>
        <v>205.80291931656382</v>
      </c>
    </row>
    <row r="63" spans="1:6" ht="31.5" x14ac:dyDescent="0.25">
      <c r="A63" s="368" t="s">
        <v>920</v>
      </c>
      <c r="B63" s="369" t="s">
        <v>978</v>
      </c>
      <c r="C63" s="342">
        <f>643.3+1463.7</f>
        <v>2107</v>
      </c>
      <c r="D63" s="565">
        <v>4336.2675099999997</v>
      </c>
      <c r="E63" s="342">
        <f t="shared" si="0"/>
        <v>205.80291931656382</v>
      </c>
    </row>
    <row r="64" spans="1:6" ht="15.75" x14ac:dyDescent="0.25">
      <c r="A64" s="366" t="s">
        <v>921</v>
      </c>
      <c r="B64" s="390" t="s">
        <v>922</v>
      </c>
      <c r="C64" s="343">
        <f>C65</f>
        <v>55</v>
      </c>
      <c r="D64" s="566">
        <f t="shared" ref="D64" si="6">D65</f>
        <v>68.572999999999993</v>
      </c>
      <c r="E64" s="343">
        <f t="shared" si="0"/>
        <v>124.6781818181818</v>
      </c>
    </row>
    <row r="65" spans="1:15" ht="15.75" x14ac:dyDescent="0.25">
      <c r="A65" s="368" t="s">
        <v>923</v>
      </c>
      <c r="B65" s="369" t="s">
        <v>924</v>
      </c>
      <c r="C65" s="342">
        <v>55</v>
      </c>
      <c r="D65" s="565">
        <v>68.572999999999993</v>
      </c>
      <c r="E65" s="342">
        <f t="shared" si="0"/>
        <v>124.6781818181818</v>
      </c>
    </row>
    <row r="66" spans="1:15" ht="31.5" x14ac:dyDescent="0.25">
      <c r="A66" s="366" t="s">
        <v>53</v>
      </c>
      <c r="B66" s="390" t="s">
        <v>54</v>
      </c>
      <c r="C66" s="343">
        <f>SUM(C67+C69)</f>
        <v>2080.9</v>
      </c>
      <c r="D66" s="566">
        <f>SUM(D67+D69)</f>
        <v>1424.17145</v>
      </c>
      <c r="E66" s="343">
        <f t="shared" si="0"/>
        <v>68.440167715892159</v>
      </c>
    </row>
    <row r="67" spans="1:15" ht="78.75" x14ac:dyDescent="0.25">
      <c r="A67" s="366" t="s">
        <v>55</v>
      </c>
      <c r="B67" s="390" t="s">
        <v>56</v>
      </c>
      <c r="C67" s="343">
        <f>C68</f>
        <v>1680.9</v>
      </c>
      <c r="D67" s="343">
        <f>D68</f>
        <v>1018.41416</v>
      </c>
      <c r="E67" s="343">
        <f t="shared" si="0"/>
        <v>60.587432922838957</v>
      </c>
    </row>
    <row r="68" spans="1:15" ht="78.75" x14ac:dyDescent="0.25">
      <c r="A68" s="368" t="s">
        <v>925</v>
      </c>
      <c r="B68" s="369" t="s">
        <v>979</v>
      </c>
      <c r="C68" s="342">
        <f>235+1445.9</f>
        <v>1680.9</v>
      </c>
      <c r="D68" s="342">
        <v>1018.41416</v>
      </c>
      <c r="E68" s="342">
        <f t="shared" si="0"/>
        <v>60.587432922838957</v>
      </c>
    </row>
    <row r="69" spans="1:15" ht="31.5" x14ac:dyDescent="0.25">
      <c r="A69" s="366" t="s">
        <v>57</v>
      </c>
      <c r="B69" s="390" t="s">
        <v>58</v>
      </c>
      <c r="C69" s="343">
        <f>SUM(C70)</f>
        <v>400</v>
      </c>
      <c r="D69" s="343">
        <f>SUM(D70)</f>
        <v>405.75729000000001</v>
      </c>
      <c r="E69" s="343">
        <f t="shared" si="0"/>
        <v>101.4393225</v>
      </c>
    </row>
    <row r="70" spans="1:15" ht="47.25" x14ac:dyDescent="0.25">
      <c r="A70" s="368" t="s">
        <v>926</v>
      </c>
      <c r="B70" s="369" t="s">
        <v>980</v>
      </c>
      <c r="C70" s="342">
        <f>1+399</f>
        <v>400</v>
      </c>
      <c r="D70" s="342">
        <v>405.75729000000001</v>
      </c>
      <c r="E70" s="342">
        <f t="shared" si="0"/>
        <v>101.4393225</v>
      </c>
    </row>
    <row r="71" spans="1:15" ht="15.75" x14ac:dyDescent="0.25">
      <c r="A71" s="366" t="s">
        <v>59</v>
      </c>
      <c r="B71" s="390" t="s">
        <v>60</v>
      </c>
      <c r="C71" s="343">
        <f>C72+C81+C83+C86</f>
        <v>23</v>
      </c>
      <c r="D71" s="566">
        <f>D72+D81+D83+D86</f>
        <v>1578.41338</v>
      </c>
      <c r="E71" s="343">
        <f t="shared" si="0"/>
        <v>6862.666869565217</v>
      </c>
    </row>
    <row r="72" spans="1:15" ht="31.5" x14ac:dyDescent="0.25">
      <c r="A72" s="366" t="s">
        <v>506</v>
      </c>
      <c r="B72" s="391" t="s">
        <v>61</v>
      </c>
      <c r="C72" s="343">
        <f>C73+C75+C77+C79</f>
        <v>13</v>
      </c>
      <c r="D72" s="343">
        <f>D73+D75+D77+D79</f>
        <v>21.54804</v>
      </c>
      <c r="E72" s="343">
        <f t="shared" si="0"/>
        <v>165.75415384615383</v>
      </c>
    </row>
    <row r="73" spans="1:15" s="72" customFormat="1" ht="47.25" x14ac:dyDescent="0.25">
      <c r="A73" s="366" t="s">
        <v>519</v>
      </c>
      <c r="B73" s="392" t="s">
        <v>518</v>
      </c>
      <c r="C73" s="343">
        <f>C74</f>
        <v>7.5</v>
      </c>
      <c r="D73" s="343">
        <f>D74</f>
        <v>21.54804</v>
      </c>
      <c r="E73" s="343">
        <f>D73/C73*100</f>
        <v>287.30720000000002</v>
      </c>
      <c r="F73" s="325"/>
      <c r="G73" s="250"/>
      <c r="J73" s="174"/>
      <c r="K73" s="183"/>
      <c r="L73" s="183"/>
      <c r="M73" s="183"/>
      <c r="N73" s="183"/>
      <c r="O73" s="183"/>
    </row>
    <row r="74" spans="1:15" ht="71.25" customHeight="1" x14ac:dyDescent="0.25">
      <c r="A74" s="368" t="s">
        <v>508</v>
      </c>
      <c r="B74" s="393" t="s">
        <v>513</v>
      </c>
      <c r="C74" s="342">
        <v>7.5</v>
      </c>
      <c r="D74" s="342">
        <v>21.54804</v>
      </c>
      <c r="E74" s="342">
        <f t="shared" ref="E74:E142" si="7">D74/C74*100</f>
        <v>287.30720000000002</v>
      </c>
    </row>
    <row r="75" spans="1:15" ht="78.75" x14ac:dyDescent="0.25">
      <c r="A75" s="366" t="s">
        <v>521</v>
      </c>
      <c r="B75" s="392" t="s">
        <v>520</v>
      </c>
      <c r="C75" s="343">
        <f>C76</f>
        <v>2.5</v>
      </c>
      <c r="D75" s="343">
        <f>D76</f>
        <v>0</v>
      </c>
      <c r="E75" s="343">
        <f t="shared" si="7"/>
        <v>0</v>
      </c>
    </row>
    <row r="76" spans="1:15" ht="94.5" x14ac:dyDescent="0.25">
      <c r="A76" s="368" t="s">
        <v>507</v>
      </c>
      <c r="B76" s="393" t="s">
        <v>514</v>
      </c>
      <c r="C76" s="342">
        <v>2.5</v>
      </c>
      <c r="D76" s="342">
        <v>0</v>
      </c>
      <c r="E76" s="342">
        <f t="shared" si="7"/>
        <v>0</v>
      </c>
    </row>
    <row r="77" spans="1:15" ht="90.75" hidden="1" customHeight="1" x14ac:dyDescent="0.25">
      <c r="A77" s="366" t="s">
        <v>772</v>
      </c>
      <c r="B77" s="394" t="s">
        <v>774</v>
      </c>
      <c r="C77" s="343">
        <f>C78</f>
        <v>0</v>
      </c>
      <c r="D77" s="343">
        <f>D78</f>
        <v>0</v>
      </c>
      <c r="E77" s="342" t="e">
        <f t="shared" si="7"/>
        <v>#DIV/0!</v>
      </c>
    </row>
    <row r="78" spans="1:15" ht="80.25" hidden="1" customHeight="1" x14ac:dyDescent="0.25">
      <c r="A78" s="368" t="s">
        <v>773</v>
      </c>
      <c r="B78" s="393" t="s">
        <v>775</v>
      </c>
      <c r="C78" s="342"/>
      <c r="D78" s="342"/>
      <c r="E78" s="342" t="e">
        <f t="shared" si="7"/>
        <v>#DIV/0!</v>
      </c>
    </row>
    <row r="79" spans="1:15" ht="78" customHeight="1" x14ac:dyDescent="0.25">
      <c r="A79" s="366" t="s">
        <v>517</v>
      </c>
      <c r="B79" s="394" t="s">
        <v>516</v>
      </c>
      <c r="C79" s="343">
        <f>C80</f>
        <v>3</v>
      </c>
      <c r="D79" s="343">
        <f>D80</f>
        <v>0</v>
      </c>
      <c r="E79" s="343">
        <f t="shared" si="7"/>
        <v>0</v>
      </c>
    </row>
    <row r="80" spans="1:15" ht="94.5" customHeight="1" x14ac:dyDescent="0.25">
      <c r="A80" s="511" t="s">
        <v>511</v>
      </c>
      <c r="B80" s="395" t="s">
        <v>515</v>
      </c>
      <c r="C80" s="532">
        <v>3</v>
      </c>
      <c r="D80" s="532">
        <v>0</v>
      </c>
      <c r="E80" s="532">
        <f t="shared" si="7"/>
        <v>0</v>
      </c>
      <c r="F80" s="324"/>
      <c r="H80" s="73"/>
      <c r="J80" s="173"/>
      <c r="K80" s="185">
        <f>C89-C91-C156</f>
        <v>0</v>
      </c>
      <c r="L80" s="186" t="s">
        <v>803</v>
      </c>
      <c r="M80" s="187">
        <f>331602347.57/1000</f>
        <v>331602.34756999998</v>
      </c>
      <c r="O80" s="185">
        <f>K80-M80</f>
        <v>-331602.34756999998</v>
      </c>
    </row>
    <row r="81" spans="1:15" s="547" customFormat="1" ht="62.25" customHeight="1" x14ac:dyDescent="0.25">
      <c r="A81" s="515" t="s">
        <v>1144</v>
      </c>
      <c r="B81" s="534" t="s">
        <v>1142</v>
      </c>
      <c r="C81" s="566">
        <f>C82</f>
        <v>0</v>
      </c>
      <c r="D81" s="528">
        <f t="shared" ref="D81:E81" si="8">D82</f>
        <v>7.5</v>
      </c>
      <c r="E81" s="528" t="str">
        <f t="shared" si="8"/>
        <v>-</v>
      </c>
      <c r="F81" s="544"/>
      <c r="G81" s="545"/>
      <c r="H81" s="546"/>
      <c r="J81" s="548"/>
      <c r="K81" s="549"/>
      <c r="L81" s="550"/>
      <c r="M81" s="551"/>
      <c r="N81" s="552"/>
      <c r="O81" s="549"/>
    </row>
    <row r="82" spans="1:15" s="538" customFormat="1" ht="54" customHeight="1" x14ac:dyDescent="0.25">
      <c r="A82" s="516" t="s">
        <v>1145</v>
      </c>
      <c r="B82" s="535" t="s">
        <v>1143</v>
      </c>
      <c r="C82" s="570">
        <v>0</v>
      </c>
      <c r="D82" s="532">
        <v>7.5</v>
      </c>
      <c r="E82" s="532" t="s">
        <v>1141</v>
      </c>
      <c r="F82" s="514"/>
      <c r="G82" s="536"/>
      <c r="H82" s="537"/>
      <c r="J82" s="539"/>
      <c r="K82" s="540"/>
      <c r="L82" s="541"/>
      <c r="M82" s="542"/>
      <c r="N82" s="543"/>
      <c r="O82" s="540"/>
    </row>
    <row r="83" spans="1:15" s="517" customFormat="1" ht="57" customHeight="1" x14ac:dyDescent="0.25">
      <c r="A83" s="519" t="s">
        <v>1148</v>
      </c>
      <c r="B83" s="534" t="s">
        <v>1151</v>
      </c>
      <c r="C83" s="562">
        <f>C84+C85</f>
        <v>0</v>
      </c>
      <c r="D83" s="562">
        <f t="shared" ref="D83" si="9">D84+D85</f>
        <v>294.39791000000002</v>
      </c>
      <c r="E83" s="562" t="s">
        <v>1141</v>
      </c>
      <c r="F83" s="324"/>
      <c r="G83" s="525"/>
      <c r="H83" s="518"/>
      <c r="J83" s="520"/>
      <c r="K83" s="522"/>
      <c r="L83" s="523"/>
      <c r="M83" s="524"/>
      <c r="N83" s="521"/>
      <c r="O83" s="522"/>
    </row>
    <row r="84" spans="1:15" s="517" customFormat="1" ht="38.25" customHeight="1" x14ac:dyDescent="0.25">
      <c r="A84" s="516" t="s">
        <v>1146</v>
      </c>
      <c r="B84" s="535" t="s">
        <v>1150</v>
      </c>
      <c r="C84" s="570">
        <v>0</v>
      </c>
      <c r="D84" s="532">
        <v>202.68290999999999</v>
      </c>
      <c r="E84" s="532" t="s">
        <v>1141</v>
      </c>
      <c r="F84" s="324"/>
      <c r="G84" s="525"/>
      <c r="H84" s="518"/>
      <c r="J84" s="520"/>
      <c r="K84" s="522"/>
      <c r="L84" s="523"/>
      <c r="M84" s="524"/>
      <c r="N84" s="521"/>
      <c r="O84" s="522"/>
    </row>
    <row r="85" spans="1:15" s="538" customFormat="1" ht="48" customHeight="1" x14ac:dyDescent="0.25">
      <c r="A85" s="516" t="s">
        <v>1147</v>
      </c>
      <c r="B85" s="535" t="s">
        <v>1149</v>
      </c>
      <c r="C85" s="565">
        <v>0</v>
      </c>
      <c r="D85" s="527">
        <v>91.715000000000003</v>
      </c>
      <c r="E85" s="527" t="s">
        <v>1141</v>
      </c>
      <c r="F85" s="514"/>
      <c r="G85" s="536"/>
      <c r="H85" s="537"/>
      <c r="J85" s="539"/>
      <c r="K85" s="540"/>
      <c r="L85" s="541"/>
      <c r="M85" s="542"/>
      <c r="N85" s="543"/>
      <c r="O85" s="540"/>
    </row>
    <row r="86" spans="1:15" s="556" customFormat="1" ht="48" customHeight="1" x14ac:dyDescent="0.25">
      <c r="A86" s="530" t="s">
        <v>927</v>
      </c>
      <c r="B86" s="529" t="s">
        <v>928</v>
      </c>
      <c r="C86" s="566">
        <f>C87</f>
        <v>10</v>
      </c>
      <c r="D86" s="528">
        <f t="shared" ref="D86:D87" si="10">D87</f>
        <v>1254.9674299999999</v>
      </c>
      <c r="E86" s="566">
        <f>D86/C86*100</f>
        <v>12549.674299999999</v>
      </c>
      <c r="F86" s="553"/>
      <c r="G86" s="554"/>
      <c r="H86" s="555"/>
      <c r="J86" s="557"/>
      <c r="K86" s="558"/>
      <c r="L86" s="559"/>
      <c r="M86" s="560"/>
      <c r="N86" s="561"/>
      <c r="O86" s="558"/>
    </row>
    <row r="87" spans="1:15" s="556" customFormat="1" ht="48" customHeight="1" x14ac:dyDescent="0.25">
      <c r="A87" s="530" t="s">
        <v>929</v>
      </c>
      <c r="B87" s="534" t="s">
        <v>930</v>
      </c>
      <c r="C87" s="528">
        <f>C88</f>
        <v>10</v>
      </c>
      <c r="D87" s="528">
        <f t="shared" si="10"/>
        <v>1254.9674299999999</v>
      </c>
      <c r="E87" s="566">
        <f t="shared" ref="E87:E88" si="11">D87/C87*100</f>
        <v>12549.674299999999</v>
      </c>
      <c r="F87" s="553"/>
      <c r="G87" s="554"/>
      <c r="H87" s="555"/>
      <c r="J87" s="557"/>
      <c r="K87" s="558"/>
      <c r="L87" s="559"/>
      <c r="M87" s="560"/>
      <c r="N87" s="561"/>
      <c r="O87" s="558"/>
    </row>
    <row r="88" spans="1:15" s="556" customFormat="1" ht="48" customHeight="1" x14ac:dyDescent="0.25">
      <c r="A88" s="531" t="s">
        <v>931</v>
      </c>
      <c r="B88" s="535" t="s">
        <v>932</v>
      </c>
      <c r="C88" s="527">
        <v>10</v>
      </c>
      <c r="D88" s="527">
        <v>1254.9674299999999</v>
      </c>
      <c r="E88" s="565">
        <f t="shared" si="11"/>
        <v>12549.674299999999</v>
      </c>
      <c r="F88" s="553"/>
      <c r="G88" s="554"/>
      <c r="H88" s="555"/>
      <c r="J88" s="557"/>
      <c r="K88" s="558"/>
      <c r="L88" s="559"/>
      <c r="M88" s="560"/>
      <c r="N88" s="561"/>
      <c r="O88" s="558"/>
    </row>
    <row r="89" spans="1:15" ht="36" customHeight="1" x14ac:dyDescent="0.25">
      <c r="A89" s="396" t="s">
        <v>509</v>
      </c>
      <c r="B89" s="534" t="s">
        <v>264</v>
      </c>
      <c r="C89" s="343">
        <f>C90</f>
        <v>0</v>
      </c>
      <c r="D89" s="566">
        <f>D90</f>
        <v>662.00103999999999</v>
      </c>
      <c r="E89" s="342" t="s">
        <v>1141</v>
      </c>
      <c r="H89" s="73"/>
      <c r="I89" s="58"/>
      <c r="J89" s="175"/>
      <c r="K89" s="185"/>
      <c r="L89" s="185"/>
    </row>
    <row r="90" spans="1:15" ht="15.75" x14ac:dyDescent="0.25">
      <c r="A90" s="396" t="s">
        <v>510</v>
      </c>
      <c r="B90" s="534" t="s">
        <v>265</v>
      </c>
      <c r="C90" s="343">
        <f>SUM(C91)</f>
        <v>0</v>
      </c>
      <c r="D90" s="343">
        <f>SUM(D91)</f>
        <v>662.00103999999999</v>
      </c>
      <c r="E90" s="342" t="s">
        <v>1141</v>
      </c>
      <c r="K90" s="185"/>
      <c r="L90" s="185"/>
    </row>
    <row r="91" spans="1:15" ht="39.75" customHeight="1" x14ac:dyDescent="0.25">
      <c r="A91" s="397" t="s">
        <v>266</v>
      </c>
      <c r="B91" s="535" t="s">
        <v>267</v>
      </c>
      <c r="C91" s="342">
        <v>0</v>
      </c>
      <c r="D91" s="342">
        <v>662.00103999999999</v>
      </c>
      <c r="E91" s="342" t="s">
        <v>1141</v>
      </c>
      <c r="K91" s="185"/>
      <c r="L91" s="185"/>
    </row>
    <row r="92" spans="1:15" ht="34.5" customHeight="1" x14ac:dyDescent="0.25">
      <c r="A92" s="366" t="s">
        <v>62</v>
      </c>
      <c r="B92" s="367" t="s">
        <v>63</v>
      </c>
      <c r="C92" s="343">
        <f>C93+C165</f>
        <v>553443.75248999998</v>
      </c>
      <c r="D92" s="343">
        <f>D93+D165+D168</f>
        <v>550028.48394000006</v>
      </c>
      <c r="E92" s="343">
        <f t="shared" si="7"/>
        <v>99.382905934951054</v>
      </c>
      <c r="F92" s="324"/>
      <c r="G92" s="262"/>
      <c r="H92" s="263"/>
      <c r="I92" s="263"/>
      <c r="J92" s="257"/>
      <c r="K92" s="258"/>
    </row>
    <row r="93" spans="1:15" ht="31.5" customHeight="1" x14ac:dyDescent="0.25">
      <c r="A93" s="366" t="s">
        <v>64</v>
      </c>
      <c r="B93" s="367" t="s">
        <v>65</v>
      </c>
      <c r="C93" s="343">
        <f>C94+C101+C130+C145</f>
        <v>553435.19248999993</v>
      </c>
      <c r="D93" s="566">
        <f>D94+D101+D130+D145</f>
        <v>550585.27612000005</v>
      </c>
      <c r="E93" s="343">
        <f t="shared" si="7"/>
        <v>99.485049666397686</v>
      </c>
      <c r="F93" s="324"/>
      <c r="G93" s="262"/>
      <c r="H93" s="259"/>
      <c r="I93" s="259"/>
      <c r="J93" s="261"/>
      <c r="K93" s="258"/>
    </row>
    <row r="94" spans="1:15" ht="27.75" customHeight="1" x14ac:dyDescent="0.25">
      <c r="A94" s="366" t="s">
        <v>289</v>
      </c>
      <c r="B94" s="387" t="s">
        <v>66</v>
      </c>
      <c r="C94" s="343">
        <f>C95+C97+C99</f>
        <v>195519.8</v>
      </c>
      <c r="D94" s="566">
        <f>D95+D97+D99</f>
        <v>195511.42949000001</v>
      </c>
      <c r="E94" s="343">
        <f t="shared" si="7"/>
        <v>99.995718842797515</v>
      </c>
      <c r="F94" s="324"/>
      <c r="G94" s="259"/>
      <c r="H94" s="260"/>
      <c r="I94" s="260"/>
      <c r="J94" s="257"/>
      <c r="K94" s="258"/>
    </row>
    <row r="95" spans="1:15" ht="34.5" customHeight="1" x14ac:dyDescent="0.25">
      <c r="A95" s="366" t="s">
        <v>535</v>
      </c>
      <c r="B95" s="387" t="s">
        <v>534</v>
      </c>
      <c r="C95" s="343">
        <f>C96</f>
        <v>184141</v>
      </c>
      <c r="D95" s="343">
        <f>D96</f>
        <v>184141</v>
      </c>
      <c r="E95" s="343">
        <f t="shared" si="7"/>
        <v>100</v>
      </c>
      <c r="F95" s="324"/>
      <c r="G95" s="259"/>
      <c r="H95" s="256"/>
      <c r="I95" s="260"/>
      <c r="J95" s="257"/>
      <c r="K95" s="258"/>
    </row>
    <row r="96" spans="1:15" ht="36.75" customHeight="1" x14ac:dyDescent="0.25">
      <c r="A96" s="368" t="s">
        <v>933</v>
      </c>
      <c r="B96" s="386" t="s">
        <v>934</v>
      </c>
      <c r="C96" s="342">
        <v>184141</v>
      </c>
      <c r="D96" s="342">
        <v>184141</v>
      </c>
      <c r="E96" s="342">
        <f t="shared" si="7"/>
        <v>100</v>
      </c>
      <c r="F96" s="327"/>
      <c r="G96" s="451"/>
      <c r="H96" s="174"/>
      <c r="I96" s="451"/>
      <c r="J96" s="174"/>
    </row>
    <row r="97" spans="1:15" ht="38.25" customHeight="1" x14ac:dyDescent="0.25">
      <c r="A97" s="363" t="s">
        <v>985</v>
      </c>
      <c r="B97" s="367" t="s">
        <v>986</v>
      </c>
      <c r="C97" s="343">
        <f>C98</f>
        <v>9878.7999999999993</v>
      </c>
      <c r="D97" s="343">
        <f>D98</f>
        <v>9870.4294900000004</v>
      </c>
      <c r="E97" s="343">
        <f t="shared" si="7"/>
        <v>99.915267947524001</v>
      </c>
      <c r="F97" s="327"/>
      <c r="G97" s="451"/>
      <c r="H97" s="174"/>
      <c r="I97" s="451"/>
      <c r="J97" s="174"/>
    </row>
    <row r="98" spans="1:15" s="72" customFormat="1" ht="38.25" customHeight="1" x14ac:dyDescent="0.25">
      <c r="A98" s="383" t="s">
        <v>987</v>
      </c>
      <c r="B98" s="386" t="s">
        <v>988</v>
      </c>
      <c r="C98" s="342">
        <f>4548+200+691.3+4439.5</f>
        <v>9878.7999999999993</v>
      </c>
      <c r="D98" s="342">
        <v>9870.4294900000004</v>
      </c>
      <c r="E98" s="342">
        <f t="shared" si="7"/>
        <v>99.915267947524001</v>
      </c>
      <c r="F98" s="327"/>
      <c r="G98" s="451"/>
      <c r="H98" s="174"/>
      <c r="I98" s="451"/>
      <c r="J98" s="174"/>
      <c r="K98" s="183"/>
      <c r="L98" s="183"/>
      <c r="M98" s="183"/>
      <c r="N98" s="183"/>
      <c r="O98" s="183"/>
    </row>
    <row r="99" spans="1:15" ht="38.25" customHeight="1" x14ac:dyDescent="0.25">
      <c r="A99" s="366" t="s">
        <v>1077</v>
      </c>
      <c r="B99" s="367" t="s">
        <v>1078</v>
      </c>
      <c r="C99" s="343">
        <f>C100</f>
        <v>1500</v>
      </c>
      <c r="D99" s="343">
        <f t="shared" ref="D99" si="12">D100</f>
        <v>1500</v>
      </c>
      <c r="E99" s="343">
        <f t="shared" si="7"/>
        <v>100</v>
      </c>
      <c r="F99" s="327"/>
      <c r="G99" s="451"/>
      <c r="H99" s="174"/>
      <c r="I99" s="451"/>
      <c r="J99" s="174"/>
    </row>
    <row r="100" spans="1:15" ht="35.25" customHeight="1" x14ac:dyDescent="0.25">
      <c r="A100" s="368" t="s">
        <v>1079</v>
      </c>
      <c r="B100" s="386" t="s">
        <v>1080</v>
      </c>
      <c r="C100" s="342">
        <v>1500</v>
      </c>
      <c r="D100" s="342">
        <v>1500</v>
      </c>
      <c r="E100" s="342">
        <f t="shared" si="7"/>
        <v>100</v>
      </c>
      <c r="F100" s="327"/>
      <c r="G100" s="451"/>
      <c r="H100" s="174"/>
      <c r="I100" s="451"/>
      <c r="J100" s="174"/>
    </row>
    <row r="101" spans="1:15" ht="51.75" customHeight="1" x14ac:dyDescent="0.25">
      <c r="A101" s="366" t="s">
        <v>288</v>
      </c>
      <c r="B101" s="387" t="s">
        <v>67</v>
      </c>
      <c r="C101" s="343">
        <f>C102+C104+C106+C112+C114+C109+C110</f>
        <v>79413.436230000007</v>
      </c>
      <c r="D101" s="566">
        <f>D102+D104+D106+D112+D114+D109+D110</f>
        <v>77571.234350000013</v>
      </c>
      <c r="E101" s="343">
        <f t="shared" si="7"/>
        <v>97.680239053420962</v>
      </c>
      <c r="F101" s="327"/>
      <c r="G101" s="451"/>
      <c r="H101" s="461"/>
      <c r="I101" s="451"/>
      <c r="J101" s="174"/>
    </row>
    <row r="102" spans="1:15" ht="51.75" customHeight="1" x14ac:dyDescent="0.25">
      <c r="A102" s="366" t="s">
        <v>1039</v>
      </c>
      <c r="B102" s="400" t="s">
        <v>1038</v>
      </c>
      <c r="C102" s="343">
        <f>C103</f>
        <v>1535.51</v>
      </c>
      <c r="D102" s="343">
        <f>D103</f>
        <v>1535.4426000000001</v>
      </c>
      <c r="E102" s="343">
        <f t="shared" si="7"/>
        <v>99.995610578895622</v>
      </c>
      <c r="F102" s="327"/>
      <c r="G102" s="451"/>
      <c r="H102" s="461"/>
      <c r="I102" s="451"/>
      <c r="J102" s="174"/>
    </row>
    <row r="103" spans="1:15" s="62" customFormat="1" ht="51.75" customHeight="1" x14ac:dyDescent="0.25">
      <c r="A103" s="368" t="s">
        <v>1037</v>
      </c>
      <c r="B103" s="573" t="s">
        <v>1036</v>
      </c>
      <c r="C103" s="565">
        <f>2520-984.49</f>
        <v>1535.51</v>
      </c>
      <c r="D103" s="565">
        <f>1535.49664-0.05404</f>
        <v>1535.4426000000001</v>
      </c>
      <c r="E103" s="342">
        <f t="shared" si="7"/>
        <v>99.995610578895622</v>
      </c>
      <c r="F103" s="325"/>
      <c r="G103" s="174"/>
      <c r="H103" s="174"/>
      <c r="I103" s="174"/>
      <c r="J103" s="174"/>
      <c r="K103" s="182"/>
      <c r="L103" s="182"/>
      <c r="M103" s="182"/>
      <c r="N103" s="182"/>
      <c r="O103" s="182"/>
    </row>
    <row r="104" spans="1:15" s="62" customFormat="1" ht="51.75" customHeight="1" x14ac:dyDescent="0.25">
      <c r="A104" s="401" t="s">
        <v>659</v>
      </c>
      <c r="B104" s="367" t="s">
        <v>660</v>
      </c>
      <c r="C104" s="343">
        <f>C105</f>
        <v>4931.6000000000004</v>
      </c>
      <c r="D104" s="343">
        <f>D105</f>
        <v>4931.5999899999997</v>
      </c>
      <c r="E104" s="343">
        <f t="shared" si="7"/>
        <v>99.999999797226039</v>
      </c>
      <c r="F104" s="325"/>
      <c r="G104" s="174"/>
      <c r="H104" s="174"/>
      <c r="I104" s="174"/>
      <c r="J104" s="174"/>
      <c r="K104" s="182"/>
      <c r="L104" s="182"/>
      <c r="M104" s="182"/>
      <c r="N104" s="182"/>
      <c r="O104" s="182"/>
    </row>
    <row r="105" spans="1:15" ht="37.5" customHeight="1" x14ac:dyDescent="0.25">
      <c r="A105" s="381" t="s">
        <v>935</v>
      </c>
      <c r="B105" s="386" t="s">
        <v>936</v>
      </c>
      <c r="C105" s="342">
        <v>4931.6000000000004</v>
      </c>
      <c r="D105" s="342">
        <v>4931.5999899999997</v>
      </c>
      <c r="E105" s="342">
        <f t="shared" si="7"/>
        <v>99.999999797226039</v>
      </c>
      <c r="F105" s="325"/>
      <c r="G105" s="174"/>
      <c r="H105" s="174"/>
      <c r="I105" s="174"/>
      <c r="J105" s="174"/>
    </row>
    <row r="106" spans="1:15" s="62" customFormat="1" ht="30.75" customHeight="1" x14ac:dyDescent="0.25">
      <c r="A106" s="402" t="s">
        <v>769</v>
      </c>
      <c r="B106" s="387" t="s">
        <v>770</v>
      </c>
      <c r="C106" s="343">
        <f>C107</f>
        <v>152.17000000000002</v>
      </c>
      <c r="D106" s="343">
        <f>D107</f>
        <v>152.16999999999999</v>
      </c>
      <c r="E106" s="343">
        <f t="shared" si="7"/>
        <v>99.999999999999972</v>
      </c>
      <c r="F106" s="325"/>
      <c r="G106" s="174"/>
      <c r="H106" s="174"/>
      <c r="I106" s="174"/>
      <c r="J106" s="174"/>
      <c r="K106" s="182"/>
      <c r="L106" s="182"/>
      <c r="M106" s="182"/>
      <c r="N106" s="182"/>
      <c r="O106" s="182"/>
    </row>
    <row r="107" spans="1:15" s="72" customFormat="1" ht="30.75" customHeight="1" x14ac:dyDescent="0.25">
      <c r="A107" s="403" t="s">
        <v>937</v>
      </c>
      <c r="B107" s="404" t="s">
        <v>938</v>
      </c>
      <c r="C107" s="342">
        <f>282.6-130.43</f>
        <v>152.17000000000002</v>
      </c>
      <c r="D107" s="342">
        <v>152.16999999999999</v>
      </c>
      <c r="E107" s="342">
        <f t="shared" si="7"/>
        <v>99.999999999999972</v>
      </c>
      <c r="F107" s="325"/>
      <c r="G107" s="452"/>
      <c r="H107" s="174"/>
      <c r="I107" s="174"/>
      <c r="J107" s="174"/>
      <c r="K107" s="183"/>
      <c r="L107" s="183"/>
      <c r="M107" s="183"/>
      <c r="N107" s="183"/>
      <c r="O107" s="183"/>
    </row>
    <row r="108" spans="1:15" s="62" customFormat="1" ht="30.75" customHeight="1" x14ac:dyDescent="0.25">
      <c r="A108" s="402" t="s">
        <v>1019</v>
      </c>
      <c r="B108" s="387" t="s">
        <v>1022</v>
      </c>
      <c r="C108" s="343">
        <f>C109</f>
        <v>1997.3469399999999</v>
      </c>
      <c r="D108" s="343">
        <f t="shared" ref="D108" si="13">D109</f>
        <v>1997.3349000000001</v>
      </c>
      <c r="E108" s="343">
        <f t="shared" si="7"/>
        <v>99.999397200368207</v>
      </c>
      <c r="F108" s="325"/>
      <c r="G108" s="452"/>
      <c r="H108" s="174"/>
      <c r="I108" s="174"/>
      <c r="J108" s="174"/>
      <c r="K108" s="182"/>
      <c r="L108" s="182"/>
      <c r="M108" s="182"/>
      <c r="N108" s="182"/>
      <c r="O108" s="182"/>
    </row>
    <row r="109" spans="1:15" s="72" customFormat="1" ht="30.75" customHeight="1" x14ac:dyDescent="0.25">
      <c r="A109" s="403" t="s">
        <v>1021</v>
      </c>
      <c r="B109" s="404" t="s">
        <v>1020</v>
      </c>
      <c r="C109" s="342">
        <f>2123163.26/1000-125.81632</f>
        <v>1997.3469399999999</v>
      </c>
      <c r="D109" s="342">
        <v>1997.3349000000001</v>
      </c>
      <c r="E109" s="342">
        <f t="shared" si="7"/>
        <v>99.999397200368207</v>
      </c>
      <c r="F109" s="325"/>
      <c r="G109" s="452"/>
      <c r="H109" s="174"/>
      <c r="I109" s="174"/>
      <c r="J109" s="174"/>
      <c r="K109" s="183"/>
      <c r="L109" s="183"/>
      <c r="M109" s="183"/>
      <c r="N109" s="183"/>
      <c r="O109" s="183"/>
    </row>
    <row r="110" spans="1:15" s="62" customFormat="1" ht="37.5" customHeight="1" x14ac:dyDescent="0.25">
      <c r="A110" s="402" t="s">
        <v>1034</v>
      </c>
      <c r="B110" s="387" t="s">
        <v>1033</v>
      </c>
      <c r="C110" s="343">
        <f>C111</f>
        <v>25273.885300000002</v>
      </c>
      <c r="D110" s="343">
        <f>D111</f>
        <v>25273.885279999999</v>
      </c>
      <c r="E110" s="343">
        <f t="shared" si="7"/>
        <v>99.999999920866927</v>
      </c>
      <c r="F110" s="325"/>
      <c r="G110" s="452"/>
      <c r="H110" s="174"/>
      <c r="I110" s="174"/>
      <c r="J110" s="174"/>
      <c r="K110" s="182"/>
      <c r="L110" s="182"/>
      <c r="M110" s="182"/>
      <c r="N110" s="182"/>
      <c r="O110" s="182"/>
    </row>
    <row r="111" spans="1:15" s="72" customFormat="1" ht="31.5" x14ac:dyDescent="0.25">
      <c r="A111" s="403" t="s">
        <v>1031</v>
      </c>
      <c r="B111" s="404" t="s">
        <v>1032</v>
      </c>
      <c r="C111" s="342">
        <f>25273885.3/1000</f>
        <v>25273.885300000002</v>
      </c>
      <c r="D111" s="342">
        <v>25273.885279999999</v>
      </c>
      <c r="E111" s="342">
        <f t="shared" si="7"/>
        <v>99.999999920866927</v>
      </c>
      <c r="F111" s="325"/>
      <c r="G111" s="454"/>
      <c r="H111" s="462"/>
      <c r="I111" s="462"/>
      <c r="J111" s="174"/>
      <c r="K111" s="183"/>
      <c r="L111" s="183"/>
      <c r="M111" s="183"/>
      <c r="N111" s="183"/>
      <c r="O111" s="183"/>
    </row>
    <row r="112" spans="1:15" s="72" customFormat="1" ht="15.75" hidden="1" x14ac:dyDescent="0.25">
      <c r="A112" s="405" t="s">
        <v>546</v>
      </c>
      <c r="B112" s="406" t="s">
        <v>547</v>
      </c>
      <c r="C112" s="343">
        <f>C113</f>
        <v>0</v>
      </c>
      <c r="D112" s="343">
        <f>D113</f>
        <v>0</v>
      </c>
      <c r="E112" s="342" t="e">
        <f t="shared" si="7"/>
        <v>#DIV/0!</v>
      </c>
      <c r="F112" s="325"/>
      <c r="G112" s="454"/>
      <c r="H112" s="454"/>
      <c r="I112" s="462"/>
      <c r="J112" s="174"/>
      <c r="K112" s="183"/>
      <c r="L112" s="183"/>
      <c r="M112" s="183"/>
      <c r="N112" s="183"/>
      <c r="O112" s="183"/>
    </row>
    <row r="113" spans="1:15" ht="25.5" hidden="1" customHeight="1" x14ac:dyDescent="0.25">
      <c r="A113" s="407" t="s">
        <v>939</v>
      </c>
      <c r="B113" s="408" t="s">
        <v>940</v>
      </c>
      <c r="C113" s="342">
        <f>112.4-112.4</f>
        <v>0</v>
      </c>
      <c r="D113" s="342">
        <v>0</v>
      </c>
      <c r="E113" s="342" t="e">
        <f t="shared" si="7"/>
        <v>#DIV/0!</v>
      </c>
      <c r="F113" s="325"/>
      <c r="G113" s="455"/>
      <c r="H113" s="454"/>
      <c r="I113" s="454"/>
      <c r="J113" s="174"/>
    </row>
    <row r="114" spans="1:15" s="64" customFormat="1" ht="27" customHeight="1" x14ac:dyDescent="0.25">
      <c r="A114" s="401" t="s">
        <v>528</v>
      </c>
      <c r="B114" s="387" t="s">
        <v>527</v>
      </c>
      <c r="C114" s="409">
        <f>C115</f>
        <v>45522.923990000003</v>
      </c>
      <c r="D114" s="569">
        <f>D115</f>
        <v>43680.801580000014</v>
      </c>
      <c r="E114" s="343">
        <f t="shared" si="7"/>
        <v>95.953418083590918</v>
      </c>
      <c r="F114" s="456"/>
      <c r="G114" s="455"/>
      <c r="H114" s="455"/>
      <c r="I114" s="455"/>
      <c r="J114" s="457"/>
      <c r="K114" s="188"/>
      <c r="L114" s="182"/>
      <c r="M114" s="188"/>
      <c r="N114" s="188"/>
      <c r="O114" s="188"/>
    </row>
    <row r="115" spans="1:15" ht="15.75" x14ac:dyDescent="0.25">
      <c r="A115" s="368" t="s">
        <v>941</v>
      </c>
      <c r="B115" s="410" t="s">
        <v>981</v>
      </c>
      <c r="C115" s="271">
        <f>SUM(C116:C129)</f>
        <v>45522.923990000003</v>
      </c>
      <c r="D115" s="271">
        <f>SUM(D116:D129)</f>
        <v>43680.801580000014</v>
      </c>
      <c r="E115" s="342">
        <f t="shared" si="7"/>
        <v>95.953418083590918</v>
      </c>
      <c r="F115" s="325"/>
      <c r="G115" s="454"/>
      <c r="H115" s="454"/>
      <c r="I115" s="454"/>
      <c r="J115" s="174"/>
      <c r="K115" s="184"/>
    </row>
    <row r="116" spans="1:15" ht="34.5" customHeight="1" x14ac:dyDescent="0.25">
      <c r="A116" s="584"/>
      <c r="B116" s="411" t="s">
        <v>942</v>
      </c>
      <c r="C116" s="373">
        <f>652+4.014</f>
        <v>656.01400000000001</v>
      </c>
      <c r="D116" s="373">
        <v>656.01400000000001</v>
      </c>
      <c r="E116" s="342">
        <f t="shared" si="7"/>
        <v>100</v>
      </c>
      <c r="F116" s="325"/>
      <c r="G116" s="454"/>
      <c r="H116" s="454"/>
      <c r="I116" s="454"/>
      <c r="J116" s="174"/>
    </row>
    <row r="117" spans="1:15" s="71" customFormat="1" ht="34.5" customHeight="1" x14ac:dyDescent="0.2">
      <c r="A117" s="587"/>
      <c r="B117" s="412" t="s">
        <v>943</v>
      </c>
      <c r="C117" s="413">
        <f>5781.2-1116.41307</f>
        <v>4664.7869300000002</v>
      </c>
      <c r="D117" s="413">
        <v>4664.7869300000002</v>
      </c>
      <c r="E117" s="342">
        <f t="shared" si="7"/>
        <v>100</v>
      </c>
      <c r="F117" s="458"/>
      <c r="G117" s="459"/>
      <c r="H117" s="459"/>
      <c r="I117" s="459"/>
      <c r="J117" s="458"/>
      <c r="K117" s="190"/>
      <c r="L117" s="190"/>
      <c r="M117" s="190"/>
      <c r="N117" s="190"/>
      <c r="O117" s="190"/>
    </row>
    <row r="118" spans="1:15" s="111" customFormat="1" ht="31.5" x14ac:dyDescent="0.2">
      <c r="A118" s="587"/>
      <c r="B118" s="369" t="s">
        <v>944</v>
      </c>
      <c r="C118" s="342">
        <f>3137.2-1000</f>
        <v>2137.1999999999998</v>
      </c>
      <c r="D118" s="342">
        <v>2137.1999999999998</v>
      </c>
      <c r="E118" s="342">
        <f t="shared" si="7"/>
        <v>100</v>
      </c>
      <c r="F118" s="458"/>
      <c r="G118" s="459"/>
      <c r="H118" s="459"/>
      <c r="I118" s="459"/>
      <c r="J118" s="458"/>
      <c r="K118" s="190"/>
      <c r="L118" s="190"/>
      <c r="M118" s="190"/>
      <c r="N118" s="190"/>
      <c r="O118" s="190"/>
    </row>
    <row r="119" spans="1:15" s="111" customFormat="1" ht="47.25" x14ac:dyDescent="0.2">
      <c r="A119" s="587"/>
      <c r="B119" s="414" t="s">
        <v>945</v>
      </c>
      <c r="C119" s="271">
        <v>6900.4369800000004</v>
      </c>
      <c r="D119" s="271">
        <v>6600.9082900000003</v>
      </c>
      <c r="E119" s="342">
        <f t="shared" si="7"/>
        <v>95.659279392476975</v>
      </c>
      <c r="F119" s="458"/>
      <c r="G119" s="459"/>
      <c r="H119" s="459"/>
      <c r="I119" s="459"/>
      <c r="J119" s="458"/>
      <c r="K119" s="190"/>
      <c r="L119" s="190"/>
      <c r="M119" s="190"/>
      <c r="N119" s="190"/>
      <c r="O119" s="190"/>
    </row>
    <row r="120" spans="1:15" s="120" customFormat="1" ht="31.5" hidden="1" x14ac:dyDescent="0.2">
      <c r="A120" s="587"/>
      <c r="B120" s="414" t="s">
        <v>946</v>
      </c>
      <c r="C120" s="271">
        <f>237.2-237.2</f>
        <v>0</v>
      </c>
      <c r="D120" s="271"/>
      <c r="E120" s="342" t="e">
        <f t="shared" si="7"/>
        <v>#DIV/0!</v>
      </c>
      <c r="F120" s="458"/>
      <c r="G120" s="459"/>
      <c r="H120" s="459"/>
      <c r="I120" s="459"/>
      <c r="J120" s="458"/>
      <c r="K120" s="190"/>
      <c r="L120" s="190"/>
      <c r="M120" s="190"/>
      <c r="N120" s="190"/>
      <c r="O120" s="190"/>
    </row>
    <row r="121" spans="1:15" s="120" customFormat="1" ht="41.25" customHeight="1" x14ac:dyDescent="0.2">
      <c r="A121" s="587"/>
      <c r="B121" s="414" t="s">
        <v>947</v>
      </c>
      <c r="C121" s="271">
        <v>5254.8</v>
      </c>
      <c r="D121" s="271">
        <v>4322.3674300000002</v>
      </c>
      <c r="E121" s="342">
        <f t="shared" si="7"/>
        <v>82.255603067671473</v>
      </c>
      <c r="F121" s="458"/>
      <c r="G121" s="459"/>
      <c r="H121" s="459"/>
      <c r="I121" s="459"/>
      <c r="J121" s="458"/>
      <c r="K121" s="190"/>
      <c r="L121" s="190"/>
      <c r="M121" s="190"/>
      <c r="N121" s="190"/>
      <c r="O121" s="190"/>
    </row>
    <row r="122" spans="1:15" s="120" customFormat="1" ht="47.25" x14ac:dyDescent="0.2">
      <c r="A122" s="587"/>
      <c r="B122" s="414" t="s">
        <v>948</v>
      </c>
      <c r="C122" s="271">
        <f>247.3-153.96667</f>
        <v>93.333330000000018</v>
      </c>
      <c r="D122" s="271">
        <v>93.333330000000004</v>
      </c>
      <c r="E122" s="342">
        <f t="shared" si="7"/>
        <v>99.999999999999986</v>
      </c>
      <c r="F122" s="458"/>
      <c r="G122" s="459"/>
      <c r="H122" s="459"/>
      <c r="I122" s="459"/>
      <c r="J122" s="458"/>
      <c r="K122" s="277"/>
      <c r="L122" s="190"/>
      <c r="M122" s="190"/>
      <c r="N122" s="190"/>
      <c r="O122" s="190"/>
    </row>
    <row r="123" spans="1:15" ht="78.75" hidden="1" x14ac:dyDescent="0.25">
      <c r="A123" s="587"/>
      <c r="B123" s="414" t="s">
        <v>949</v>
      </c>
      <c r="C123" s="271">
        <f>200-200</f>
        <v>0</v>
      </c>
      <c r="D123" s="271"/>
      <c r="E123" s="342" t="e">
        <f t="shared" si="7"/>
        <v>#DIV/0!</v>
      </c>
      <c r="F123" s="325"/>
      <c r="G123" s="454"/>
      <c r="H123" s="454"/>
      <c r="I123" s="454"/>
      <c r="J123" s="174"/>
    </row>
    <row r="124" spans="1:15" ht="33.75" customHeight="1" x14ac:dyDescent="0.25">
      <c r="A124" s="587"/>
      <c r="B124" s="414" t="s">
        <v>950</v>
      </c>
      <c r="C124" s="271">
        <f>21728-91.34754-147.86207</f>
        <v>21488.790390000002</v>
      </c>
      <c r="D124" s="271">
        <v>21488.790389999998</v>
      </c>
      <c r="E124" s="342">
        <f t="shared" si="7"/>
        <v>99.999999999999972</v>
      </c>
      <c r="F124" s="325"/>
      <c r="G124" s="454"/>
      <c r="H124" s="454"/>
      <c r="I124" s="454"/>
      <c r="J124" s="174"/>
    </row>
    <row r="125" spans="1:15" ht="31.5" x14ac:dyDescent="0.25">
      <c r="A125" s="587"/>
      <c r="B125" s="414" t="s">
        <v>1057</v>
      </c>
      <c r="C125" s="271">
        <f>1352462.36/1000</f>
        <v>1352.46236</v>
      </c>
      <c r="D125" s="271">
        <v>1311.56412</v>
      </c>
      <c r="E125" s="342">
        <f t="shared" si="7"/>
        <v>96.976016397232684</v>
      </c>
      <c r="F125" s="325"/>
      <c r="G125" s="454"/>
      <c r="H125" s="454"/>
      <c r="I125" s="454"/>
      <c r="J125" s="174"/>
    </row>
    <row r="126" spans="1:15" ht="47.25" x14ac:dyDescent="0.25">
      <c r="A126" s="587"/>
      <c r="B126" s="414" t="s">
        <v>1064</v>
      </c>
      <c r="C126" s="271">
        <v>78.8</v>
      </c>
      <c r="D126" s="271">
        <v>78.8</v>
      </c>
      <c r="E126" s="342">
        <f t="shared" si="7"/>
        <v>100</v>
      </c>
      <c r="F126" s="325"/>
      <c r="G126" s="454"/>
      <c r="H126" s="454"/>
      <c r="I126" s="454"/>
      <c r="J126" s="174"/>
    </row>
    <row r="127" spans="1:15" ht="69" customHeight="1" x14ac:dyDescent="0.25">
      <c r="A127" s="587"/>
      <c r="B127" s="414" t="s">
        <v>1065</v>
      </c>
      <c r="C127" s="271">
        <v>804.1</v>
      </c>
      <c r="D127" s="271">
        <v>262.52551999999997</v>
      </c>
      <c r="E127" s="342">
        <f t="shared" si="7"/>
        <v>32.648367118517591</v>
      </c>
      <c r="F127" s="325"/>
      <c r="G127" s="454"/>
      <c r="H127" s="454"/>
      <c r="I127" s="454"/>
      <c r="J127" s="174"/>
    </row>
    <row r="128" spans="1:15" ht="41.25" customHeight="1" x14ac:dyDescent="0.25">
      <c r="A128" s="587"/>
      <c r="B128" s="414" t="s">
        <v>1066</v>
      </c>
      <c r="C128" s="271">
        <v>943.8</v>
      </c>
      <c r="D128" s="271">
        <v>916.11157000000003</v>
      </c>
      <c r="E128" s="342">
        <f t="shared" si="7"/>
        <v>97.066282051282059</v>
      </c>
      <c r="F128" s="325"/>
      <c r="G128" s="454"/>
      <c r="H128" s="454"/>
      <c r="I128" s="454"/>
      <c r="J128" s="174"/>
    </row>
    <row r="129" spans="1:11" ht="31.5" x14ac:dyDescent="0.25">
      <c r="A129" s="585"/>
      <c r="B129" s="414" t="s">
        <v>1072</v>
      </c>
      <c r="C129" s="271">
        <v>1148.4000000000001</v>
      </c>
      <c r="D129" s="271">
        <v>1148.4000000000001</v>
      </c>
      <c r="E129" s="342">
        <f t="shared" si="7"/>
        <v>100</v>
      </c>
      <c r="F129" s="325"/>
      <c r="G129" s="454"/>
      <c r="H129" s="454"/>
      <c r="I129" s="454"/>
      <c r="J129" s="174"/>
    </row>
    <row r="130" spans="1:11" ht="36.75" customHeight="1" x14ac:dyDescent="0.25">
      <c r="A130" s="366" t="s">
        <v>287</v>
      </c>
      <c r="B130" s="390" t="s">
        <v>68</v>
      </c>
      <c r="C130" s="343">
        <f>C143+C131</f>
        <v>258043.38229999997</v>
      </c>
      <c r="D130" s="566">
        <f t="shared" ref="D130" si="14">D143+D131</f>
        <v>257044.13295999999</v>
      </c>
      <c r="E130" s="343">
        <f t="shared" si="7"/>
        <v>99.612759168209067</v>
      </c>
      <c r="F130" s="325"/>
      <c r="G130" s="454"/>
      <c r="H130" s="454"/>
      <c r="I130" s="454"/>
      <c r="J130" s="174"/>
    </row>
    <row r="131" spans="1:11" ht="34.5" customHeight="1" x14ac:dyDescent="0.25">
      <c r="A131" s="366" t="s">
        <v>286</v>
      </c>
      <c r="B131" s="390" t="s">
        <v>69</v>
      </c>
      <c r="C131" s="343">
        <f>C132+C141</f>
        <v>257477.48229999997</v>
      </c>
      <c r="D131" s="343">
        <f>D132+D141</f>
        <v>256478.23295999999</v>
      </c>
      <c r="E131" s="343">
        <f t="shared" si="7"/>
        <v>99.611908066261222</v>
      </c>
      <c r="F131" s="325"/>
      <c r="G131" s="454"/>
      <c r="H131" s="454"/>
      <c r="I131" s="454"/>
      <c r="J131" s="174"/>
    </row>
    <row r="132" spans="1:11" ht="47.25" x14ac:dyDescent="0.25">
      <c r="A132" s="368" t="s">
        <v>951</v>
      </c>
      <c r="B132" s="369" t="s">
        <v>952</v>
      </c>
      <c r="C132" s="342">
        <f>SUM(C133+C134+C137+C138+C139+C140)</f>
        <v>11155.948630000001</v>
      </c>
      <c r="D132" s="565">
        <f>SUM(D133+D134+D137+D138+D139+D140)</f>
        <v>10773.974400000001</v>
      </c>
      <c r="E132" s="342">
        <f t="shared" si="7"/>
        <v>96.576048862641642</v>
      </c>
      <c r="F132" s="325"/>
      <c r="G132" s="454"/>
      <c r="H132" s="454"/>
      <c r="I132" s="454"/>
      <c r="J132" s="174"/>
      <c r="K132" s="189"/>
    </row>
    <row r="133" spans="1:11" ht="114.75" customHeight="1" x14ac:dyDescent="0.25">
      <c r="A133" s="587"/>
      <c r="B133" s="369" t="s">
        <v>953</v>
      </c>
      <c r="C133" s="344">
        <v>344.17239999999998</v>
      </c>
      <c r="D133" s="344">
        <v>344.17239999999998</v>
      </c>
      <c r="E133" s="342">
        <f t="shared" si="7"/>
        <v>100</v>
      </c>
      <c r="F133" s="326"/>
      <c r="G133" s="460"/>
      <c r="H133" s="460"/>
      <c r="I133" s="460"/>
      <c r="J133" s="174"/>
    </row>
    <row r="134" spans="1:11" ht="47.25" x14ac:dyDescent="0.25">
      <c r="A134" s="587"/>
      <c r="B134" s="369" t="s">
        <v>954</v>
      </c>
      <c r="C134" s="344">
        <f>SUM(C135:C136)</f>
        <v>7124.0557999999992</v>
      </c>
      <c r="D134" s="344">
        <f>SUM(D135:D136)</f>
        <v>6765.5999999999995</v>
      </c>
      <c r="E134" s="342">
        <f t="shared" si="7"/>
        <v>94.96837461604386</v>
      </c>
      <c r="F134" s="326"/>
      <c r="G134" s="460"/>
      <c r="H134" s="460"/>
      <c r="I134" s="460"/>
      <c r="J134" s="174"/>
    </row>
    <row r="135" spans="1:11" ht="78.75" x14ac:dyDescent="0.25">
      <c r="A135" s="587"/>
      <c r="B135" s="415" t="s">
        <v>686</v>
      </c>
      <c r="C135" s="416">
        <f>6335.4+333.565</f>
        <v>6668.9649999999992</v>
      </c>
      <c r="D135" s="416">
        <v>6335.4</v>
      </c>
      <c r="E135" s="342">
        <f t="shared" si="7"/>
        <v>94.998249353535371</v>
      </c>
      <c r="F135" s="326"/>
      <c r="G135" s="460"/>
      <c r="H135" s="460"/>
      <c r="I135" s="460"/>
      <c r="J135" s="174"/>
    </row>
    <row r="136" spans="1:11" ht="126" x14ac:dyDescent="0.25">
      <c r="A136" s="587"/>
      <c r="B136" s="415" t="s">
        <v>687</v>
      </c>
      <c r="C136" s="416">
        <f>430.2+24.8908</f>
        <v>455.0908</v>
      </c>
      <c r="D136" s="416">
        <v>430.2</v>
      </c>
      <c r="E136" s="342">
        <f t="shared" si="7"/>
        <v>94.530585984159643</v>
      </c>
      <c r="F136" s="326"/>
      <c r="G136" s="460"/>
      <c r="H136" s="460"/>
      <c r="I136" s="460"/>
      <c r="J136" s="174"/>
    </row>
    <row r="137" spans="1:11" ht="64.5" customHeight="1" x14ac:dyDescent="0.25">
      <c r="A137" s="587"/>
      <c r="B137" s="369" t="s">
        <v>955</v>
      </c>
      <c r="C137" s="344">
        <v>210.4</v>
      </c>
      <c r="D137" s="344">
        <v>192</v>
      </c>
      <c r="E137" s="342">
        <f t="shared" si="7"/>
        <v>91.254752851711032</v>
      </c>
      <c r="F137" s="326"/>
      <c r="G137" s="460"/>
      <c r="H137" s="460"/>
      <c r="I137" s="460"/>
      <c r="J137" s="174"/>
    </row>
    <row r="138" spans="1:11" ht="54" customHeight="1" x14ac:dyDescent="0.25">
      <c r="A138" s="587"/>
      <c r="B138" s="369" t="s">
        <v>956</v>
      </c>
      <c r="C138" s="344">
        <f>1548.8+81.4</f>
        <v>1630.2</v>
      </c>
      <c r="D138" s="344">
        <v>1630.2</v>
      </c>
      <c r="E138" s="342">
        <f t="shared" si="7"/>
        <v>100</v>
      </c>
      <c r="F138" s="326"/>
      <c r="G138" s="460"/>
      <c r="H138" s="460"/>
      <c r="I138" s="460"/>
      <c r="J138" s="174"/>
    </row>
    <row r="139" spans="1:11" ht="55.15" customHeight="1" x14ac:dyDescent="0.25">
      <c r="A139" s="587"/>
      <c r="B139" s="417" t="s">
        <v>957</v>
      </c>
      <c r="C139" s="344">
        <f>48.2+11.92043</f>
        <v>60.120429999999999</v>
      </c>
      <c r="D139" s="344">
        <v>55.002000000000002</v>
      </c>
      <c r="E139" s="342">
        <f t="shared" si="7"/>
        <v>91.486371604461254</v>
      </c>
      <c r="F139" s="326"/>
      <c r="G139" s="460"/>
      <c r="H139" s="460"/>
      <c r="I139" s="460"/>
      <c r="J139" s="174"/>
    </row>
    <row r="140" spans="1:11" ht="53.25" customHeight="1" x14ac:dyDescent="0.25">
      <c r="A140" s="587"/>
      <c r="B140" s="369" t="s">
        <v>958</v>
      </c>
      <c r="C140" s="344">
        <v>1787</v>
      </c>
      <c r="D140" s="344">
        <v>1787</v>
      </c>
      <c r="E140" s="342">
        <f t="shared" si="7"/>
        <v>100</v>
      </c>
      <c r="F140" s="326"/>
      <c r="G140" s="460"/>
      <c r="H140" s="460"/>
      <c r="I140" s="460"/>
      <c r="J140" s="174"/>
    </row>
    <row r="141" spans="1:11" ht="39" customHeight="1" x14ac:dyDescent="0.25">
      <c r="A141" s="366" t="s">
        <v>804</v>
      </c>
      <c r="B141" s="529" t="s">
        <v>805</v>
      </c>
      <c r="C141" s="302">
        <f>C142</f>
        <v>246321.53366999998</v>
      </c>
      <c r="D141" s="567">
        <f>D142</f>
        <v>245704.25855999999</v>
      </c>
      <c r="E141" s="343">
        <f t="shared" si="7"/>
        <v>99.749402701094354</v>
      </c>
      <c r="F141" s="588"/>
      <c r="G141" s="589"/>
      <c r="H141" s="589"/>
      <c r="I141" s="589"/>
      <c r="J141" s="589"/>
      <c r="K141" s="276"/>
    </row>
    <row r="142" spans="1:11" ht="47.25" x14ac:dyDescent="0.25">
      <c r="A142" s="368" t="s">
        <v>959</v>
      </c>
      <c r="B142" s="411" t="s">
        <v>960</v>
      </c>
      <c r="C142" s="342">
        <f>265303.2-6051.09+12343-12343+4304.083-6756.226-10589.655+111.22167</f>
        <v>246321.53366999998</v>
      </c>
      <c r="D142" s="342">
        <v>245704.25855999999</v>
      </c>
      <c r="E142" s="342">
        <f t="shared" si="7"/>
        <v>99.749402701094354</v>
      </c>
      <c r="F142" s="325"/>
      <c r="G142" s="454"/>
      <c r="H142" s="454"/>
      <c r="I142" s="454"/>
      <c r="J142" s="174"/>
    </row>
    <row r="143" spans="1:11" ht="31.5" x14ac:dyDescent="0.25">
      <c r="A143" s="366" t="s">
        <v>285</v>
      </c>
      <c r="B143" s="390" t="s">
        <v>70</v>
      </c>
      <c r="C143" s="343">
        <f t="shared" ref="C143:D143" si="15">C144</f>
        <v>565.9</v>
      </c>
      <c r="D143" s="343">
        <f t="shared" si="15"/>
        <v>565.9</v>
      </c>
      <c r="E143" s="343">
        <f t="shared" ref="E143:E171" si="16">D143/C143*100</f>
        <v>100</v>
      </c>
      <c r="F143" s="325"/>
      <c r="G143" s="452"/>
      <c r="H143" s="174"/>
      <c r="I143" s="174"/>
      <c r="J143" s="174"/>
    </row>
    <row r="144" spans="1:11" ht="21.75" customHeight="1" x14ac:dyDescent="0.25">
      <c r="A144" s="368" t="s">
        <v>961</v>
      </c>
      <c r="B144" s="369" t="s">
        <v>962</v>
      </c>
      <c r="C144" s="342">
        <v>565.9</v>
      </c>
      <c r="D144" s="342">
        <v>565.9</v>
      </c>
      <c r="E144" s="342">
        <f t="shared" si="16"/>
        <v>100</v>
      </c>
      <c r="F144" s="325"/>
      <c r="G144" s="452"/>
      <c r="H144" s="174"/>
      <c r="I144" s="174"/>
      <c r="J144" s="174"/>
    </row>
    <row r="145" spans="1:15" ht="18.75" x14ac:dyDescent="0.25">
      <c r="A145" s="366" t="s">
        <v>284</v>
      </c>
      <c r="B145" s="390" t="s">
        <v>71</v>
      </c>
      <c r="C145" s="343">
        <f>C148+C150+C152+C146+C163</f>
        <v>20458.573960000002</v>
      </c>
      <c r="D145" s="566">
        <f>D148+D150+D152+D146+D163</f>
        <v>20458.479320000002</v>
      </c>
      <c r="E145" s="343">
        <f t="shared" si="16"/>
        <v>99.999537406662924</v>
      </c>
      <c r="F145" s="325"/>
      <c r="G145" s="452"/>
      <c r="H145" s="174"/>
      <c r="I145" s="174"/>
      <c r="J145" s="174"/>
    </row>
    <row r="146" spans="1:15" s="62" customFormat="1" ht="67.5" customHeight="1" x14ac:dyDescent="0.25">
      <c r="A146" s="366" t="s">
        <v>1027</v>
      </c>
      <c r="B146" s="418" t="s">
        <v>1028</v>
      </c>
      <c r="C146" s="343">
        <f>C147</f>
        <v>131.60299999999998</v>
      </c>
      <c r="D146" s="343">
        <f t="shared" ref="D146" si="17">D147</f>
        <v>131.50836000000001</v>
      </c>
      <c r="E146" s="343">
        <f t="shared" si="16"/>
        <v>99.928086745742903</v>
      </c>
      <c r="F146" s="325"/>
      <c r="G146" s="452"/>
      <c r="H146" s="174"/>
      <c r="I146" s="174"/>
      <c r="J146" s="174"/>
      <c r="K146" s="182"/>
      <c r="L146" s="182"/>
      <c r="M146" s="182"/>
      <c r="N146" s="182"/>
      <c r="O146" s="182"/>
    </row>
    <row r="147" spans="1:15" ht="51.75" customHeight="1" x14ac:dyDescent="0.25">
      <c r="A147" s="366" t="s">
        <v>1030</v>
      </c>
      <c r="B147" s="419" t="s">
        <v>1029</v>
      </c>
      <c r="C147" s="342">
        <f>263205/1000-131.602</f>
        <v>131.60299999999998</v>
      </c>
      <c r="D147" s="342">
        <v>131.50836000000001</v>
      </c>
      <c r="E147" s="342">
        <f t="shared" si="16"/>
        <v>99.928086745742903</v>
      </c>
      <c r="F147" s="325"/>
      <c r="G147" s="452"/>
      <c r="H147" s="174"/>
      <c r="I147" s="174"/>
      <c r="J147" s="174"/>
    </row>
    <row r="148" spans="1:15" s="72" customFormat="1" ht="63" x14ac:dyDescent="0.25">
      <c r="A148" s="420" t="s">
        <v>645</v>
      </c>
      <c r="B148" s="418" t="s">
        <v>644</v>
      </c>
      <c r="C148" s="343">
        <f>C149</f>
        <v>6521.7000000000007</v>
      </c>
      <c r="D148" s="343">
        <f>D149</f>
        <v>6521.7</v>
      </c>
      <c r="E148" s="343">
        <f t="shared" si="16"/>
        <v>99.999999999999986</v>
      </c>
      <c r="F148" s="325"/>
      <c r="G148" s="452"/>
      <c r="H148" s="174"/>
      <c r="I148" s="174"/>
      <c r="J148" s="174"/>
      <c r="K148" s="183"/>
      <c r="L148" s="183"/>
      <c r="M148" s="183"/>
      <c r="N148" s="183"/>
      <c r="O148" s="183"/>
    </row>
    <row r="149" spans="1:15" ht="36" customHeight="1" x14ac:dyDescent="0.25">
      <c r="A149" s="368" t="s">
        <v>963</v>
      </c>
      <c r="B149" s="419" t="s">
        <v>964</v>
      </c>
      <c r="C149" s="342">
        <f>7226.1-704.4</f>
        <v>6521.7000000000007</v>
      </c>
      <c r="D149" s="342">
        <v>6521.7</v>
      </c>
      <c r="E149" s="342">
        <f t="shared" si="16"/>
        <v>99.999999999999986</v>
      </c>
      <c r="F149" s="325"/>
      <c r="G149" s="452"/>
      <c r="H149" s="174"/>
      <c r="I149" s="174"/>
      <c r="J149" s="174"/>
    </row>
    <row r="150" spans="1:15" ht="38.25" customHeight="1" x14ac:dyDescent="0.25">
      <c r="A150" s="421" t="s">
        <v>965</v>
      </c>
      <c r="B150" s="422" t="s">
        <v>966</v>
      </c>
      <c r="C150" s="423">
        <f>C151</f>
        <v>5000</v>
      </c>
      <c r="D150" s="423">
        <f>D151</f>
        <v>5000</v>
      </c>
      <c r="E150" s="343">
        <f t="shared" si="16"/>
        <v>100</v>
      </c>
      <c r="F150" s="325"/>
      <c r="G150" s="452"/>
      <c r="H150" s="174"/>
      <c r="I150" s="174"/>
      <c r="J150" s="174"/>
    </row>
    <row r="151" spans="1:15" s="72" customFormat="1" ht="31.5" x14ac:dyDescent="0.25">
      <c r="A151" s="368" t="s">
        <v>967</v>
      </c>
      <c r="B151" s="411" t="s">
        <v>968</v>
      </c>
      <c r="C151" s="424">
        <v>5000</v>
      </c>
      <c r="D151" s="424">
        <v>5000</v>
      </c>
      <c r="E151" s="342">
        <f t="shared" si="16"/>
        <v>100</v>
      </c>
      <c r="F151" s="325"/>
      <c r="G151" s="452"/>
      <c r="H151" s="174"/>
      <c r="I151" s="174"/>
      <c r="J151" s="174"/>
      <c r="K151" s="183"/>
      <c r="L151" s="183"/>
      <c r="M151" s="183"/>
      <c r="N151" s="183"/>
      <c r="O151" s="183"/>
    </row>
    <row r="152" spans="1:15" ht="63.75" customHeight="1" x14ac:dyDescent="0.25">
      <c r="A152" s="425" t="s">
        <v>1026</v>
      </c>
      <c r="B152" s="422" t="s">
        <v>1025</v>
      </c>
      <c r="C152" s="343">
        <f>C153</f>
        <v>7500</v>
      </c>
      <c r="D152" s="343">
        <f t="shared" ref="D152" si="18">D153</f>
        <v>7500</v>
      </c>
      <c r="E152" s="343">
        <f t="shared" si="16"/>
        <v>100</v>
      </c>
      <c r="F152" s="325"/>
      <c r="G152" s="452"/>
      <c r="H152" s="174"/>
      <c r="I152" s="174"/>
      <c r="J152" s="174"/>
    </row>
    <row r="153" spans="1:15" ht="38.25" customHeight="1" x14ac:dyDescent="0.25">
      <c r="A153" s="426" t="s">
        <v>1024</v>
      </c>
      <c r="B153" s="411" t="s">
        <v>1023</v>
      </c>
      <c r="C153" s="342">
        <v>7500</v>
      </c>
      <c r="D153" s="427">
        <v>7500</v>
      </c>
      <c r="E153" s="343">
        <f t="shared" si="16"/>
        <v>100</v>
      </c>
      <c r="F153" s="325"/>
      <c r="G153" s="452"/>
      <c r="H153" s="174"/>
      <c r="I153" s="174"/>
      <c r="J153" s="174"/>
    </row>
    <row r="154" spans="1:15" s="72" customFormat="1" ht="18.75" hidden="1" x14ac:dyDescent="0.25">
      <c r="A154" s="426"/>
      <c r="B154" s="419"/>
      <c r="C154" s="427"/>
      <c r="D154" s="427"/>
      <c r="E154" s="343" t="e">
        <f t="shared" si="16"/>
        <v>#DIV/0!</v>
      </c>
      <c r="F154" s="325"/>
      <c r="G154" s="452"/>
      <c r="H154" s="174"/>
      <c r="I154" s="174"/>
      <c r="J154" s="174"/>
      <c r="K154" s="183"/>
      <c r="L154" s="183"/>
      <c r="M154" s="183"/>
      <c r="N154" s="183"/>
      <c r="O154" s="183"/>
    </row>
    <row r="155" spans="1:15" ht="36" hidden="1" customHeight="1" x14ac:dyDescent="0.25">
      <c r="A155" s="428" t="s">
        <v>693</v>
      </c>
      <c r="B155" s="418" t="s">
        <v>697</v>
      </c>
      <c r="C155" s="377">
        <f t="shared" ref="C155:D156" si="19">C156</f>
        <v>0</v>
      </c>
      <c r="D155" s="377">
        <f t="shared" si="19"/>
        <v>0</v>
      </c>
      <c r="E155" s="343" t="e">
        <f t="shared" si="16"/>
        <v>#DIV/0!</v>
      </c>
      <c r="F155" s="325"/>
      <c r="G155" s="452"/>
      <c r="H155" s="174"/>
      <c r="I155" s="174"/>
      <c r="J155" s="174"/>
    </row>
    <row r="156" spans="1:15" ht="15.6" hidden="1" customHeight="1" x14ac:dyDescent="0.25">
      <c r="A156" s="425" t="s">
        <v>696</v>
      </c>
      <c r="B156" s="418" t="s">
        <v>698</v>
      </c>
      <c r="C156" s="377">
        <f t="shared" si="19"/>
        <v>0</v>
      </c>
      <c r="D156" s="377">
        <f t="shared" si="19"/>
        <v>0</v>
      </c>
      <c r="E156" s="343" t="e">
        <f t="shared" si="16"/>
        <v>#DIV/0!</v>
      </c>
      <c r="F156" s="325"/>
      <c r="G156" s="452"/>
      <c r="H156" s="174"/>
      <c r="I156" s="174"/>
      <c r="J156" s="174"/>
    </row>
    <row r="157" spans="1:15" ht="15.6" hidden="1" customHeight="1" x14ac:dyDescent="0.25">
      <c r="A157" s="426" t="s">
        <v>691</v>
      </c>
      <c r="B157" s="419" t="s">
        <v>692</v>
      </c>
      <c r="C157" s="429"/>
      <c r="D157" s="429"/>
      <c r="E157" s="343" t="e">
        <f t="shared" si="16"/>
        <v>#DIV/0!</v>
      </c>
      <c r="F157" s="325"/>
      <c r="G157" s="452"/>
      <c r="H157" s="174"/>
      <c r="I157" s="174"/>
      <c r="J157" s="174"/>
    </row>
    <row r="158" spans="1:15" ht="15.6" hidden="1" customHeight="1" x14ac:dyDescent="0.25">
      <c r="A158" s="425"/>
      <c r="B158" s="419"/>
      <c r="C158" s="429"/>
      <c r="D158" s="429"/>
      <c r="E158" s="343" t="e">
        <f t="shared" si="16"/>
        <v>#DIV/0!</v>
      </c>
      <c r="F158" s="325"/>
      <c r="G158" s="452"/>
      <c r="H158" s="174"/>
      <c r="I158" s="174"/>
      <c r="J158" s="174"/>
    </row>
    <row r="159" spans="1:15" ht="15.6" hidden="1" customHeight="1" x14ac:dyDescent="0.25">
      <c r="A159" s="425"/>
      <c r="B159" s="419"/>
      <c r="C159" s="429"/>
      <c r="D159" s="429"/>
      <c r="E159" s="343" t="e">
        <f t="shared" si="16"/>
        <v>#DIV/0!</v>
      </c>
      <c r="F159" s="325"/>
      <c r="G159" s="452"/>
      <c r="H159" s="174"/>
      <c r="I159" s="174"/>
      <c r="J159" s="174"/>
    </row>
    <row r="160" spans="1:15" ht="15.6" hidden="1" customHeight="1" x14ac:dyDescent="0.25">
      <c r="A160" s="425"/>
      <c r="B160" s="419"/>
      <c r="C160" s="429"/>
      <c r="D160" s="429"/>
      <c r="E160" s="343" t="e">
        <f t="shared" si="16"/>
        <v>#DIV/0!</v>
      </c>
      <c r="F160" s="325"/>
      <c r="G160" s="452"/>
      <c r="H160" s="174"/>
      <c r="I160" s="174"/>
      <c r="J160" s="174"/>
    </row>
    <row r="161" spans="1:15" ht="15.6" hidden="1" customHeight="1" x14ac:dyDescent="0.25">
      <c r="A161" s="425"/>
      <c r="B161" s="419"/>
      <c r="C161" s="429"/>
      <c r="D161" s="429"/>
      <c r="E161" s="343" t="e">
        <f t="shared" si="16"/>
        <v>#DIV/0!</v>
      </c>
      <c r="F161" s="325"/>
      <c r="G161" s="452"/>
      <c r="H161" s="174"/>
      <c r="I161" s="174"/>
      <c r="J161" s="174"/>
    </row>
    <row r="162" spans="1:15" s="349" customFormat="1" ht="27" hidden="1" customHeight="1" x14ac:dyDescent="0.25">
      <c r="A162" s="425"/>
      <c r="B162" s="419"/>
      <c r="C162" s="429"/>
      <c r="D162" s="429"/>
      <c r="E162" s="343" t="e">
        <f t="shared" si="16"/>
        <v>#DIV/0!</v>
      </c>
      <c r="F162" s="325"/>
      <c r="G162" s="452"/>
      <c r="H162" s="174"/>
      <c r="I162" s="174"/>
      <c r="J162" s="174"/>
      <c r="K162" s="183"/>
      <c r="L162" s="183"/>
      <c r="M162" s="183"/>
      <c r="N162" s="183"/>
      <c r="O162" s="183"/>
    </row>
    <row r="163" spans="1:15" s="348" customFormat="1" ht="34.15" customHeight="1" x14ac:dyDescent="0.25">
      <c r="A163" s="425" t="s">
        <v>1100</v>
      </c>
      <c r="B163" s="430" t="s">
        <v>1097</v>
      </c>
      <c r="C163" s="377">
        <f>C164</f>
        <v>1305.2709600000001</v>
      </c>
      <c r="D163" s="571">
        <f t="shared" ref="D163" si="20">D164</f>
        <v>1305.2709600000001</v>
      </c>
      <c r="E163" s="343">
        <f t="shared" si="16"/>
        <v>100</v>
      </c>
      <c r="F163" s="325"/>
      <c r="G163" s="452"/>
      <c r="H163" s="174"/>
      <c r="I163" s="174"/>
      <c r="J163" s="174"/>
      <c r="K163" s="182"/>
      <c r="L163" s="182"/>
      <c r="M163" s="182"/>
      <c r="N163" s="182"/>
      <c r="O163" s="182"/>
    </row>
    <row r="164" spans="1:15" ht="27.6" customHeight="1" x14ac:dyDescent="0.25">
      <c r="A164" s="425" t="s">
        <v>1099</v>
      </c>
      <c r="B164" s="431" t="s">
        <v>1098</v>
      </c>
      <c r="C164" s="429">
        <f>1305270.96/1000</f>
        <v>1305.2709600000001</v>
      </c>
      <c r="D164" s="429">
        <v>1305.2709600000001</v>
      </c>
      <c r="E164" s="342">
        <f t="shared" si="16"/>
        <v>100</v>
      </c>
      <c r="F164" s="325"/>
      <c r="G164" s="452"/>
      <c r="H164" s="174"/>
      <c r="I164" s="174"/>
      <c r="J164" s="174"/>
    </row>
    <row r="165" spans="1:15" ht="20.25" customHeight="1" x14ac:dyDescent="0.25">
      <c r="A165" s="432" t="s">
        <v>1046</v>
      </c>
      <c r="B165" s="433" t="s">
        <v>275</v>
      </c>
      <c r="C165" s="377">
        <f>C166</f>
        <v>8.56</v>
      </c>
      <c r="D165" s="377">
        <f t="shared" ref="D165" si="21">SUM(D166)</f>
        <v>8.56</v>
      </c>
      <c r="E165" s="343">
        <f t="shared" si="16"/>
        <v>100</v>
      </c>
      <c r="F165" s="325"/>
      <c r="G165" s="452"/>
      <c r="H165" s="174"/>
      <c r="I165" s="174"/>
      <c r="J165" s="174"/>
    </row>
    <row r="166" spans="1:15" ht="39" customHeight="1" x14ac:dyDescent="0.25">
      <c r="A166" s="432" t="s">
        <v>1044</v>
      </c>
      <c r="B166" s="433" t="s">
        <v>1045</v>
      </c>
      <c r="C166" s="377">
        <f>C167</f>
        <v>8.56</v>
      </c>
      <c r="D166" s="533">
        <f>D167</f>
        <v>8.56</v>
      </c>
      <c r="E166" s="342">
        <f t="shared" si="16"/>
        <v>100</v>
      </c>
      <c r="F166" s="325"/>
      <c r="G166" s="452"/>
      <c r="H166" s="174"/>
      <c r="I166" s="174"/>
      <c r="J166" s="174"/>
    </row>
    <row r="167" spans="1:15" ht="32.25" customHeight="1" x14ac:dyDescent="0.25">
      <c r="A167" s="526" t="s">
        <v>1043</v>
      </c>
      <c r="B167" s="434" t="s">
        <v>1054</v>
      </c>
      <c r="C167" s="572">
        <f>9.10039-0.54039</f>
        <v>8.56</v>
      </c>
      <c r="D167" s="572">
        <v>8.56</v>
      </c>
      <c r="E167" s="342">
        <f t="shared" si="16"/>
        <v>100</v>
      </c>
      <c r="F167" s="325"/>
      <c r="G167" s="452"/>
      <c r="H167" s="174"/>
      <c r="I167" s="174"/>
      <c r="J167" s="174"/>
    </row>
    <row r="168" spans="1:15" ht="30" customHeight="1" x14ac:dyDescent="0.25">
      <c r="A168" s="563" t="s">
        <v>1152</v>
      </c>
      <c r="B168" s="574" t="s">
        <v>1155</v>
      </c>
      <c r="C168" s="377">
        <f>C169</f>
        <v>0</v>
      </c>
      <c r="D168" s="571">
        <f t="shared" ref="D168:D169" si="22">D169</f>
        <v>-565.35217999999998</v>
      </c>
      <c r="E168" s="571" t="s">
        <v>1141</v>
      </c>
      <c r="F168" s="325"/>
      <c r="G168" s="452"/>
      <c r="H168" s="174"/>
      <c r="I168" s="174"/>
      <c r="J168" s="174"/>
    </row>
    <row r="169" spans="1:15" ht="47.25" x14ac:dyDescent="0.25">
      <c r="A169" s="563" t="s">
        <v>1153</v>
      </c>
      <c r="B169" s="574" t="s">
        <v>1156</v>
      </c>
      <c r="C169" s="429">
        <f>C170</f>
        <v>0</v>
      </c>
      <c r="D169" s="572">
        <f t="shared" si="22"/>
        <v>-565.35217999999998</v>
      </c>
      <c r="E169" s="572" t="s">
        <v>1141</v>
      </c>
      <c r="F169" s="325"/>
      <c r="G169" s="453"/>
      <c r="H169" s="451"/>
      <c r="I169" s="174"/>
      <c r="J169" s="174"/>
      <c r="L169" s="189"/>
    </row>
    <row r="170" spans="1:15" ht="63" x14ac:dyDescent="0.25">
      <c r="A170" s="564" t="s">
        <v>1154</v>
      </c>
      <c r="B170" s="568" t="s">
        <v>1157</v>
      </c>
      <c r="C170" s="429">
        <v>0</v>
      </c>
      <c r="D170" s="429">
        <v>-565.35217999999998</v>
      </c>
      <c r="E170" s="342" t="s">
        <v>1141</v>
      </c>
      <c r="F170" s="325"/>
      <c r="G170" s="453"/>
      <c r="H170" s="451"/>
      <c r="I170" s="174"/>
      <c r="J170" s="174"/>
      <c r="L170" s="189"/>
    </row>
    <row r="171" spans="1:15" ht="24" customHeight="1" x14ac:dyDescent="0.25">
      <c r="A171" s="368"/>
      <c r="B171" s="400" t="s">
        <v>72</v>
      </c>
      <c r="C171" s="343">
        <f>SUM(C9+C92)</f>
        <v>1000273.15249</v>
      </c>
      <c r="D171" s="566">
        <f>SUM(D9+D92)</f>
        <v>1025233.6671500001</v>
      </c>
      <c r="E171" s="343">
        <f t="shared" si="16"/>
        <v>102.49536984951216</v>
      </c>
      <c r="I171" s="84"/>
    </row>
    <row r="172" spans="1:15" x14ac:dyDescent="0.25">
      <c r="D172" s="435"/>
      <c r="E172" s="435"/>
    </row>
    <row r="173" spans="1:15" x14ac:dyDescent="0.25">
      <c r="D173" s="435"/>
      <c r="E173" s="435"/>
    </row>
    <row r="177" spans="3:3" x14ac:dyDescent="0.25">
      <c r="C177" s="446"/>
    </row>
  </sheetData>
  <mergeCells count="12">
    <mergeCell ref="D4:E4"/>
    <mergeCell ref="D3:E3"/>
    <mergeCell ref="D2:E2"/>
    <mergeCell ref="A5:E5"/>
    <mergeCell ref="A7:A8"/>
    <mergeCell ref="B7:B8"/>
    <mergeCell ref="A116:A129"/>
    <mergeCell ref="F141:J141"/>
    <mergeCell ref="A133:A140"/>
    <mergeCell ref="C7:C8"/>
    <mergeCell ref="D7:D8"/>
    <mergeCell ref="E7:E8"/>
  </mergeCells>
  <hyperlinks>
    <hyperlink ref="B74" r:id="rId1" display="consultantplus://offline/ref=90DD075742B43C415054D7C57EEE35341F87E5BC1D9D1BDE3A747C0D881C15D50B24F795703DF0A84C588B73F9A8AC3C8A6AC02CDB9A5E68c4m2F"/>
    <hyperlink ref="B76" r:id="rId2" display="consultantplus://offline/ref=90DD075742B43C415054D7C57EEE35341F87E5BC1D9D1BDE3A747C0D881C15D50B24F795703DF2AD4E588B73F9A8AC3C8A6AC02CDB9A5E68c4m2F"/>
    <hyperlink ref="B80" r:id="rId3" display="consultantplus://offline/ref=90DD075742B43C415054D7C57EEE35341F87E5BC1D9D1BDE3A747C0D881C15D50B24F795703CF7A64B588B73F9A8AC3C8A6AC02CDB9A5E68c4m2F"/>
    <hyperlink ref="B79" r:id="rId4" display="consultantplus://offline/ref=90DD075742B43C415054D7C57EEE35341F87E5BC1D9D1BDE3A747C0D881C15D50B24F795703CF7A64B588B73F9A8AC3C8A6AC02CDB9A5E68c4m2F"/>
    <hyperlink ref="B73" r:id="rId5" display="consultantplus://offline/ref=90DD075742B43C415054D7C57EEE35341F87E5BC1D9D1BDE3A747C0D881C15D50B24F795703DF0A84C588B73F9A8AC3C8A6AC02CDB9A5E68c4m2F"/>
    <hyperlink ref="B75" r:id="rId6" display="consultantplus://offline/ref=90DD075742B43C415054D7C57EEE35341F87E5BC1D9D1BDE3A747C0D881C15D50B24F795703DF2AD4E588B73F9A8AC3C8A6AC02CDB9A5E68c4m2F"/>
    <hyperlink ref="A74" r:id="rId7" display="consultantplus://offline/ref=90DD075742B43C415054D7C57EEE35341F87E5BC1D9D1BDE3A747C0D881C15D50B24F795703DF0A84C588B73F9A8AC3C8A6AC02CDB9A5E68c4m2F"/>
    <hyperlink ref="A76" r:id="rId8" display="consultantplus://offline/ref=90DD075742B43C415054D7C57EEE35341F87E5BC1D9D1BDE3A747C0D881C15D50B24F795703DF2AD4E588B73F9A8AC3C8A6AC02CDB9A5E68c4m2F"/>
    <hyperlink ref="A80" r:id="rId9" display="consultantplus://offline/ref=90DD075742B43C415054D7C57EEE35341F87E5BC1D9D1BDE3A747C0D881C15D50B24F795703CF7A64B588B73F9A8AC3C8A6AC02CDB9A5E68c4m2F"/>
    <hyperlink ref="A79" r:id="rId10" display="consultantplus://offline/ref=90DD075742B43C415054D7C57EEE35341F87E5BC1D9D1BDE3A747C0D881C15D50B24F795703CF7A64B588B73F9A8AC3C8A6AC02CDB9A5E68c4m2F"/>
    <hyperlink ref="A73" r:id="rId11" display="consultantplus://offline/ref=90DD075742B43C415054D7C57EEE35341F87E5BC1D9D1BDE3A747C0D881C15D50B24F795703DF0A84C588B73F9A8AC3C8A6AC02CDB9A5E68c4m2F"/>
    <hyperlink ref="A75" r:id="rId12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0" fitToHeight="6" orientation="portrait" r:id="rId13"/>
  <colBreaks count="1" manualBreakCount="1">
    <brk id="5" max="209" man="1"/>
  </colBreaks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80" zoomScaleNormal="100" zoomScaleSheetLayoutView="80" workbookViewId="0">
      <selection activeCell="E1" sqref="E1:F3"/>
    </sheetView>
  </sheetViews>
  <sheetFormatPr defaultRowHeight="15" x14ac:dyDescent="0.25"/>
  <cols>
    <col min="1" max="1" width="73.7109375" customWidth="1"/>
    <col min="2" max="2" width="4.5703125" customWidth="1"/>
    <col min="3" max="3" width="6.140625" customWidth="1"/>
    <col min="4" max="4" width="13.7109375" style="15" customWidth="1"/>
    <col min="5" max="5" width="14.42578125" style="15" customWidth="1"/>
    <col min="6" max="6" width="12.140625" style="15" customWidth="1"/>
  </cols>
  <sheetData>
    <row r="1" spans="1:6" ht="15.75" x14ac:dyDescent="0.25">
      <c r="A1" s="10"/>
      <c r="B1" s="593"/>
      <c r="C1" s="593"/>
      <c r="D1" s="593"/>
      <c r="E1" s="610" t="s">
        <v>1126</v>
      </c>
      <c r="F1" s="610"/>
    </row>
    <row r="2" spans="1:6" ht="15.75" x14ac:dyDescent="0.25">
      <c r="A2" s="10"/>
      <c r="B2" s="593"/>
      <c r="C2" s="593"/>
      <c r="D2" s="593"/>
      <c r="E2" s="610" t="s">
        <v>1049</v>
      </c>
      <c r="F2" s="610"/>
    </row>
    <row r="3" spans="1:6" ht="18.75" customHeight="1" x14ac:dyDescent="0.25">
      <c r="A3" s="10"/>
      <c r="B3" s="594"/>
      <c r="C3" s="594"/>
      <c r="D3" s="594"/>
      <c r="E3" s="610" t="s">
        <v>1162</v>
      </c>
      <c r="F3" s="610"/>
    </row>
    <row r="4" spans="1:6" s="75" customFormat="1" ht="18.75" x14ac:dyDescent="0.3">
      <c r="A4" s="10"/>
      <c r="B4" s="65"/>
      <c r="C4" s="10"/>
      <c r="D4" s="350"/>
      <c r="E4" s="222"/>
      <c r="F4" s="222"/>
    </row>
    <row r="5" spans="1:6" ht="47.25" customHeight="1" x14ac:dyDescent="0.25">
      <c r="A5" s="595" t="s">
        <v>1132</v>
      </c>
      <c r="B5" s="595"/>
      <c r="C5" s="595"/>
      <c r="D5" s="595"/>
      <c r="E5" s="595"/>
      <c r="F5" s="595"/>
    </row>
    <row r="6" spans="1:6" x14ac:dyDescent="0.25">
      <c r="B6" s="237"/>
      <c r="C6" s="237"/>
      <c r="D6" s="100"/>
      <c r="E6" s="100"/>
      <c r="F6" s="100"/>
    </row>
    <row r="7" spans="1:6" s="131" customFormat="1" ht="14.45" customHeight="1" x14ac:dyDescent="0.25">
      <c r="A7" s="592" t="s">
        <v>982</v>
      </c>
      <c r="B7" s="592" t="s">
        <v>253</v>
      </c>
      <c r="C7" s="592" t="s">
        <v>254</v>
      </c>
      <c r="D7" s="596" t="s">
        <v>1127</v>
      </c>
      <c r="E7" s="596" t="s">
        <v>1128</v>
      </c>
      <c r="F7" s="596" t="s">
        <v>1129</v>
      </c>
    </row>
    <row r="8" spans="1:6" ht="28.9" customHeight="1" x14ac:dyDescent="0.25">
      <c r="A8" s="592"/>
      <c r="B8" s="592"/>
      <c r="C8" s="592"/>
      <c r="D8" s="597"/>
      <c r="E8" s="597"/>
      <c r="F8" s="597"/>
    </row>
    <row r="9" spans="1:6" s="243" customFormat="1" ht="15.75" hidden="1" x14ac:dyDescent="0.25">
      <c r="A9" s="244" t="s">
        <v>875</v>
      </c>
      <c r="B9" s="242"/>
      <c r="C9" s="242"/>
      <c r="D9" s="241"/>
      <c r="E9" s="241">
        <f>'Пр.4 Ведом23'!H10</f>
        <v>0</v>
      </c>
      <c r="F9" s="241">
        <f>'Пр.4 Ведом23'!I10</f>
        <v>0</v>
      </c>
    </row>
    <row r="10" spans="1:6" ht="15.75" x14ac:dyDescent="0.25">
      <c r="A10" s="240" t="s">
        <v>80</v>
      </c>
      <c r="B10" s="16" t="s">
        <v>81</v>
      </c>
      <c r="C10" s="52"/>
      <c r="D10" s="101">
        <f>SUM(D11:D17)</f>
        <v>224597.62783000001</v>
      </c>
      <c r="E10" s="101">
        <f t="shared" ref="E10" si="0">SUM(E11:E17)</f>
        <v>224011.27424000003</v>
      </c>
      <c r="F10" s="101">
        <f>E10/D10*100</f>
        <v>99.738931530281434</v>
      </c>
    </row>
    <row r="11" spans="1:6" ht="31.5" x14ac:dyDescent="0.25">
      <c r="A11" s="20" t="s">
        <v>227</v>
      </c>
      <c r="B11" s="14" t="s">
        <v>81</v>
      </c>
      <c r="C11" s="14" t="s">
        <v>119</v>
      </c>
      <c r="D11" s="18">
        <f>'Пр.3 Рд,пр, ЦС,ВР 23'!F11</f>
        <v>7117.8675999999996</v>
      </c>
      <c r="E11" s="18">
        <f>'Пр.3 Рд,пр, ЦС,ВР 23'!G11</f>
        <v>7117.8676000000005</v>
      </c>
      <c r="F11" s="512">
        <f t="shared" ref="F11:F54" si="1">E11/D11*100</f>
        <v>100.00000000000003</v>
      </c>
    </row>
    <row r="12" spans="1:6" ht="47.25" x14ac:dyDescent="0.25">
      <c r="A12" s="20" t="s">
        <v>229</v>
      </c>
      <c r="B12" s="14" t="s">
        <v>81</v>
      </c>
      <c r="C12" s="14" t="s">
        <v>120</v>
      </c>
      <c r="D12" s="18">
        <f>'Пр.3 Рд,пр, ЦС,ВР 23'!F33</f>
        <v>8428.4557799999984</v>
      </c>
      <c r="E12" s="18">
        <f>'Пр.3 Рд,пр, ЦС,ВР 23'!G33</f>
        <v>8425.5451899999989</v>
      </c>
      <c r="F12" s="512">
        <f t="shared" si="1"/>
        <v>99.96546710244472</v>
      </c>
    </row>
    <row r="13" spans="1:6" ht="47.25" x14ac:dyDescent="0.25">
      <c r="A13" s="17" t="s">
        <v>102</v>
      </c>
      <c r="B13" s="14" t="s">
        <v>81</v>
      </c>
      <c r="C13" s="14" t="s">
        <v>103</v>
      </c>
      <c r="D13" s="18">
        <f>'Пр.3 Рд,пр, ЦС,ВР 23'!F57</f>
        <v>94493.491870000042</v>
      </c>
      <c r="E13" s="18">
        <f>'Пр.3 Рд,пр, ЦС,ВР 23'!G57</f>
        <v>94400.996450000006</v>
      </c>
      <c r="F13" s="512">
        <f t="shared" si="1"/>
        <v>99.902114507391389</v>
      </c>
    </row>
    <row r="14" spans="1:6" ht="31.5" x14ac:dyDescent="0.25">
      <c r="A14" s="17" t="s">
        <v>82</v>
      </c>
      <c r="B14" s="14" t="s">
        <v>81</v>
      </c>
      <c r="C14" s="14" t="s">
        <v>83</v>
      </c>
      <c r="D14" s="18">
        <f>'Пр.3 Рд,пр, ЦС,ВР 23'!F123</f>
        <v>22222.222259999999</v>
      </c>
      <c r="E14" s="18">
        <f>'Пр.3 Рд,пр, ЦС,ВР 23'!G123</f>
        <v>22200.45448</v>
      </c>
      <c r="F14" s="512">
        <f t="shared" si="1"/>
        <v>99.90204499016653</v>
      </c>
    </row>
    <row r="15" spans="1:6" s="75" customFormat="1" ht="15.75" hidden="1" x14ac:dyDescent="0.25">
      <c r="A15" s="17" t="s">
        <v>544</v>
      </c>
      <c r="B15" s="14" t="s">
        <v>81</v>
      </c>
      <c r="C15" s="14" t="s">
        <v>145</v>
      </c>
      <c r="D15" s="18">
        <f>'Пр.3 Рд,пр, ЦС,ВР 23'!F159</f>
        <v>0</v>
      </c>
      <c r="E15" s="18">
        <f>'Пр.3 Рд,пр, ЦС,ВР 23'!G159</f>
        <v>0</v>
      </c>
      <c r="F15" s="512" t="e">
        <f t="shared" si="1"/>
        <v>#DIV/0!</v>
      </c>
    </row>
    <row r="16" spans="1:6" s="75" customFormat="1" ht="15.75" x14ac:dyDescent="0.25">
      <c r="A16" s="17" t="s">
        <v>651</v>
      </c>
      <c r="B16" s="14" t="s">
        <v>81</v>
      </c>
      <c r="C16" s="14" t="s">
        <v>197</v>
      </c>
      <c r="D16" s="18">
        <f>'Пр.3 Рд,пр, ЦС,ВР 23'!F167</f>
        <v>264.62720000000002</v>
      </c>
      <c r="E16" s="18">
        <f>'Пр.3 Рд,пр, ЦС,ВР 23'!G167</f>
        <v>0</v>
      </c>
      <c r="F16" s="512">
        <f t="shared" si="1"/>
        <v>0</v>
      </c>
    </row>
    <row r="17" spans="1:6" ht="15.75" x14ac:dyDescent="0.25">
      <c r="A17" s="53" t="s">
        <v>95</v>
      </c>
      <c r="B17" s="14" t="s">
        <v>81</v>
      </c>
      <c r="C17" s="14" t="s">
        <v>96</v>
      </c>
      <c r="D17" s="18">
        <f>'Пр.3 Рд,пр, ЦС,ВР 23'!F173</f>
        <v>92070.963119999986</v>
      </c>
      <c r="E17" s="18">
        <f>'Пр.3 Рд,пр, ЦС,ВР 23'!G173</f>
        <v>91866.410520000005</v>
      </c>
      <c r="F17" s="512">
        <f t="shared" si="1"/>
        <v>99.77783158439064</v>
      </c>
    </row>
    <row r="18" spans="1:6" ht="15.75" hidden="1" x14ac:dyDescent="0.25">
      <c r="A18" s="13" t="s">
        <v>118</v>
      </c>
      <c r="B18" s="16" t="s">
        <v>119</v>
      </c>
      <c r="C18" s="14"/>
      <c r="D18" s="25">
        <f t="shared" ref="D18:E18" si="2">D19</f>
        <v>0</v>
      </c>
      <c r="E18" s="25">
        <f t="shared" si="2"/>
        <v>0</v>
      </c>
      <c r="F18" s="512" t="e">
        <f t="shared" si="1"/>
        <v>#DIV/0!</v>
      </c>
    </row>
    <row r="19" spans="1:6" ht="15.75" hidden="1" x14ac:dyDescent="0.25">
      <c r="A19" s="17" t="s">
        <v>121</v>
      </c>
      <c r="B19" s="14" t="s">
        <v>119</v>
      </c>
      <c r="C19" s="14" t="s">
        <v>122</v>
      </c>
      <c r="D19" s="18"/>
      <c r="E19" s="18"/>
      <c r="F19" s="512" t="e">
        <f t="shared" si="1"/>
        <v>#DIV/0!</v>
      </c>
    </row>
    <row r="20" spans="1:6" ht="18" customHeight="1" x14ac:dyDescent="0.25">
      <c r="A20" s="22" t="s">
        <v>124</v>
      </c>
      <c r="B20" s="16" t="s">
        <v>120</v>
      </c>
      <c r="C20" s="16"/>
      <c r="D20" s="25">
        <f t="shared" ref="D20:E20" si="3">D21</f>
        <v>10837.23963</v>
      </c>
      <c r="E20" s="25">
        <f t="shared" si="3"/>
        <v>9990.7717600000014</v>
      </c>
      <c r="F20" s="101">
        <f t="shared" si="1"/>
        <v>92.189266834547254</v>
      </c>
    </row>
    <row r="21" spans="1:6" ht="31.5" x14ac:dyDescent="0.25">
      <c r="A21" s="20" t="s">
        <v>640</v>
      </c>
      <c r="B21" s="14" t="s">
        <v>120</v>
      </c>
      <c r="C21" s="14" t="s">
        <v>134</v>
      </c>
      <c r="D21" s="18">
        <f>'Пр.3 Рд,пр, ЦС,ВР 23'!F284</f>
        <v>10837.23963</v>
      </c>
      <c r="E21" s="18">
        <f>'Пр.3 Рд,пр, ЦС,ВР 23'!G284</f>
        <v>9990.7717600000014</v>
      </c>
      <c r="F21" s="512">
        <f t="shared" si="1"/>
        <v>92.189266834547254</v>
      </c>
    </row>
    <row r="22" spans="1:6" ht="15.75" x14ac:dyDescent="0.25">
      <c r="A22" s="28" t="s">
        <v>127</v>
      </c>
      <c r="B22" s="16" t="s">
        <v>103</v>
      </c>
      <c r="C22" s="16"/>
      <c r="D22" s="25">
        <f t="shared" ref="D22:E22" si="4">D23+D24+D25+D26</f>
        <v>12919.830399999999</v>
      </c>
      <c r="E22" s="25">
        <f t="shared" si="4"/>
        <v>12919.827529999999</v>
      </c>
      <c r="F22" s="101">
        <f t="shared" si="1"/>
        <v>99.999977786086106</v>
      </c>
    </row>
    <row r="23" spans="1:6" ht="15.75" hidden="1" x14ac:dyDescent="0.25">
      <c r="A23" s="54" t="s">
        <v>128</v>
      </c>
      <c r="B23" s="14" t="s">
        <v>103</v>
      </c>
      <c r="C23" s="14" t="s">
        <v>129</v>
      </c>
      <c r="D23" s="18">
        <f>'Пр.3 Рд,пр, ЦС,ВР 23'!F321</f>
        <v>0</v>
      </c>
      <c r="E23" s="18">
        <f>'Пр.3 Рд,пр, ЦС,ВР 23'!G321</f>
        <v>0</v>
      </c>
      <c r="F23" s="512" t="e">
        <f t="shared" si="1"/>
        <v>#DIV/0!</v>
      </c>
    </row>
    <row r="24" spans="1:6" ht="15.75" x14ac:dyDescent="0.25">
      <c r="A24" s="53" t="s">
        <v>201</v>
      </c>
      <c r="B24" s="14" t="s">
        <v>103</v>
      </c>
      <c r="C24" s="14" t="s">
        <v>159</v>
      </c>
      <c r="D24" s="18">
        <f>'Пр.3 Рд,пр, ЦС,ВР 23'!F331</f>
        <v>3258</v>
      </c>
      <c r="E24" s="18">
        <f>'Пр.3 Рд,пр, ЦС,ВР 23'!G331</f>
        <v>3258</v>
      </c>
      <c r="F24" s="512">
        <f t="shared" si="1"/>
        <v>100</v>
      </c>
    </row>
    <row r="25" spans="1:6" ht="15.75" x14ac:dyDescent="0.25">
      <c r="A25" s="53" t="s">
        <v>203</v>
      </c>
      <c r="B25" s="14" t="s">
        <v>103</v>
      </c>
      <c r="C25" s="14" t="s">
        <v>122</v>
      </c>
      <c r="D25" s="18">
        <f>'Пр.3 Рд,пр, ЦС,ВР 23'!F337</f>
        <v>8038.6579999999985</v>
      </c>
      <c r="E25" s="18">
        <f>'Пр.3 Рд,пр, ЦС,ВР 23'!G337</f>
        <v>8038.6580000000004</v>
      </c>
      <c r="F25" s="512">
        <f t="shared" si="1"/>
        <v>100.00000000000003</v>
      </c>
    </row>
    <row r="26" spans="1:6" ht="15.75" x14ac:dyDescent="0.25">
      <c r="A26" s="55" t="s">
        <v>131</v>
      </c>
      <c r="B26" s="14" t="s">
        <v>103</v>
      </c>
      <c r="C26" s="14" t="s">
        <v>132</v>
      </c>
      <c r="D26" s="18">
        <f>'Пр.3 Рд,пр, ЦС,ВР 23'!F354</f>
        <v>1623.1723999999999</v>
      </c>
      <c r="E26" s="18">
        <f>'Пр.3 Рд,пр, ЦС,ВР 23'!G354</f>
        <v>1623.1695300000001</v>
      </c>
      <c r="F26" s="512">
        <f t="shared" si="1"/>
        <v>99.999823185756497</v>
      </c>
    </row>
    <row r="27" spans="1:6" ht="15.75" x14ac:dyDescent="0.25">
      <c r="A27" s="28" t="s">
        <v>184</v>
      </c>
      <c r="B27" s="16" t="s">
        <v>129</v>
      </c>
      <c r="C27" s="16"/>
      <c r="D27" s="25">
        <f t="shared" ref="D27:E27" si="5">SUM(D28:D31)</f>
        <v>147754.86126999999</v>
      </c>
      <c r="E27" s="25">
        <f t="shared" si="5"/>
        <v>147373.86851999999</v>
      </c>
      <c r="F27" s="101">
        <f t="shared" si="1"/>
        <v>99.74214537056497</v>
      </c>
    </row>
    <row r="28" spans="1:6" ht="15.75" x14ac:dyDescent="0.25">
      <c r="A28" s="54" t="s">
        <v>185</v>
      </c>
      <c r="B28" s="14" t="s">
        <v>129</v>
      </c>
      <c r="C28" s="14" t="s">
        <v>81</v>
      </c>
      <c r="D28" s="18">
        <f>'Пр.3 Рд,пр, ЦС,ВР 23'!F386</f>
        <v>19191.079279999998</v>
      </c>
      <c r="E28" s="18">
        <f>'Пр.3 Рд,пр, ЦС,ВР 23'!G386</f>
        <v>18891.528600000001</v>
      </c>
      <c r="F28" s="512">
        <f t="shared" si="1"/>
        <v>98.439114988638636</v>
      </c>
    </row>
    <row r="29" spans="1:6" ht="15.75" x14ac:dyDescent="0.25">
      <c r="A29" s="54" t="s">
        <v>207</v>
      </c>
      <c r="B29" s="14" t="s">
        <v>129</v>
      </c>
      <c r="C29" s="14" t="s">
        <v>119</v>
      </c>
      <c r="D29" s="18">
        <f>'Пр.3 Рд,пр, ЦС,ВР 23'!F404</f>
        <v>51312.45162</v>
      </c>
      <c r="E29" s="18">
        <f>'Пр.3 Рд,пр, ЦС,ВР 23'!G404</f>
        <v>51312.45162</v>
      </c>
      <c r="F29" s="512">
        <f t="shared" si="1"/>
        <v>100</v>
      </c>
    </row>
    <row r="30" spans="1:6" ht="15.75" x14ac:dyDescent="0.25">
      <c r="A30" s="53" t="s">
        <v>216</v>
      </c>
      <c r="B30" s="14" t="s">
        <v>129</v>
      </c>
      <c r="C30" s="14" t="s">
        <v>120</v>
      </c>
      <c r="D30" s="18">
        <f>'Пр.3 Рд,пр, ЦС,ВР 23'!F476</f>
        <v>43786.406640000001</v>
      </c>
      <c r="E30" s="18">
        <f>'Пр.3 Рд,пр, ЦС,ВР 23'!G476</f>
        <v>43745.48893</v>
      </c>
      <c r="F30" s="512">
        <f t="shared" si="1"/>
        <v>99.906551568991688</v>
      </c>
    </row>
    <row r="31" spans="1:6" ht="15.75" x14ac:dyDescent="0.25">
      <c r="A31" s="17" t="s">
        <v>224</v>
      </c>
      <c r="B31" s="14" t="s">
        <v>129</v>
      </c>
      <c r="C31" s="14" t="s">
        <v>129</v>
      </c>
      <c r="D31" s="18">
        <f>'Пр.3 Рд,пр, ЦС,ВР 23'!F541</f>
        <v>33464.923730000002</v>
      </c>
      <c r="E31" s="18">
        <f>'Пр.3 Рд,пр, ЦС,ВР 23'!G541</f>
        <v>33424.399369999999</v>
      </c>
      <c r="F31" s="512">
        <f t="shared" si="1"/>
        <v>99.878904968297675</v>
      </c>
    </row>
    <row r="32" spans="1:6" s="131" customFormat="1" ht="15.75" hidden="1" x14ac:dyDescent="0.25">
      <c r="A32" s="116" t="s">
        <v>832</v>
      </c>
      <c r="B32" s="117" t="s">
        <v>83</v>
      </c>
      <c r="C32" s="117"/>
      <c r="D32" s="25">
        <f>D33</f>
        <v>0</v>
      </c>
      <c r="E32" s="25">
        <f t="shared" ref="E32" si="6">E33</f>
        <v>0</v>
      </c>
      <c r="F32" s="512" t="e">
        <f t="shared" si="1"/>
        <v>#DIV/0!</v>
      </c>
    </row>
    <row r="33" spans="1:6" s="131" customFormat="1" ht="15.75" hidden="1" x14ac:dyDescent="0.25">
      <c r="A33" s="133" t="s">
        <v>833</v>
      </c>
      <c r="B33" s="134" t="s">
        <v>83</v>
      </c>
      <c r="C33" s="134" t="s">
        <v>129</v>
      </c>
      <c r="D33" s="18">
        <f>'Пр.3 Рд,пр, ЦС,ВР 23'!F608</f>
        <v>0</v>
      </c>
      <c r="E33" s="18">
        <f>'Пр.3 Рд,пр, ЦС,ВР 23'!G608</f>
        <v>0</v>
      </c>
      <c r="F33" s="512" t="e">
        <f t="shared" si="1"/>
        <v>#DIV/0!</v>
      </c>
    </row>
    <row r="34" spans="1:6" ht="15.75" x14ac:dyDescent="0.25">
      <c r="A34" s="28" t="s">
        <v>144</v>
      </c>
      <c r="B34" s="16" t="s">
        <v>145</v>
      </c>
      <c r="C34" s="16"/>
      <c r="D34" s="25">
        <f t="shared" ref="D34:E34" si="7">SUM(D35:D39)</f>
        <v>427417.31041999999</v>
      </c>
      <c r="E34" s="25">
        <f t="shared" si="7"/>
        <v>423186.00881000003</v>
      </c>
      <c r="F34" s="101">
        <f t="shared" si="1"/>
        <v>99.010030359827468</v>
      </c>
    </row>
    <row r="35" spans="1:6" ht="15.75" x14ac:dyDescent="0.25">
      <c r="A35" s="53" t="s">
        <v>188</v>
      </c>
      <c r="B35" s="14" t="s">
        <v>145</v>
      </c>
      <c r="C35" s="14" t="s">
        <v>81</v>
      </c>
      <c r="D35" s="18">
        <f>'Пр.3 Рд,пр, ЦС,ВР 23'!F615</f>
        <v>102792.86929999998</v>
      </c>
      <c r="E35" s="18">
        <f>'Пр.3 Рд,пр, ЦС,ВР 23'!G615</f>
        <v>101697.55085000001</v>
      </c>
      <c r="F35" s="512">
        <f t="shared" si="1"/>
        <v>98.934441214202039</v>
      </c>
    </row>
    <row r="36" spans="1:6" ht="15.75" x14ac:dyDescent="0.25">
      <c r="A36" s="53" t="s">
        <v>190</v>
      </c>
      <c r="B36" s="14" t="s">
        <v>145</v>
      </c>
      <c r="C36" s="14" t="s">
        <v>119</v>
      </c>
      <c r="D36" s="18">
        <f>'Пр.3 Рд,пр, ЦС,ВР 23'!F663</f>
        <v>222508.52911000003</v>
      </c>
      <c r="E36" s="18">
        <f>'Пр.3 Рд,пр, ЦС,ВР 23'!G663</f>
        <v>220021.69289000001</v>
      </c>
      <c r="F36" s="512">
        <f t="shared" si="1"/>
        <v>98.882363642442385</v>
      </c>
    </row>
    <row r="37" spans="1:6" ht="15.75" x14ac:dyDescent="0.25">
      <c r="A37" s="53" t="s">
        <v>146</v>
      </c>
      <c r="B37" s="14" t="s">
        <v>145</v>
      </c>
      <c r="C37" s="14" t="s">
        <v>120</v>
      </c>
      <c r="D37" s="18">
        <f>'Пр.3 Рд,пр, ЦС,ВР 23'!F736</f>
        <v>60627.524369999992</v>
      </c>
      <c r="E37" s="18">
        <f>'Пр.3 Рд,пр, ЦС,ВР 23'!G736</f>
        <v>60419.000180000003</v>
      </c>
      <c r="F37" s="512">
        <f t="shared" si="1"/>
        <v>99.656056894674776</v>
      </c>
    </row>
    <row r="38" spans="1:6" ht="15.75" x14ac:dyDescent="0.25">
      <c r="A38" s="53" t="s">
        <v>1009</v>
      </c>
      <c r="B38" s="14" t="s">
        <v>145</v>
      </c>
      <c r="C38" s="14" t="s">
        <v>145</v>
      </c>
      <c r="D38" s="18">
        <f>'Пр.3 Рд,пр, ЦС,ВР 23'!F812</f>
        <v>1862.0594499999997</v>
      </c>
      <c r="E38" s="18">
        <f>'Пр.3 Рд,пр, ЦС,ВР 23'!G812</f>
        <v>1861.4781600000001</v>
      </c>
      <c r="F38" s="512">
        <f t="shared" si="1"/>
        <v>99.968782414546453</v>
      </c>
    </row>
    <row r="39" spans="1:6" ht="15.75" x14ac:dyDescent="0.25">
      <c r="A39" s="53" t="s">
        <v>157</v>
      </c>
      <c r="B39" s="14" t="s">
        <v>145</v>
      </c>
      <c r="C39" s="14" t="s">
        <v>122</v>
      </c>
      <c r="D39" s="18">
        <f>'Пр.3 Рд,пр, ЦС,ВР 23'!F835</f>
        <v>39626.32819</v>
      </c>
      <c r="E39" s="18">
        <f>'Пр.3 Рд,пр, ЦС,ВР 23'!G835</f>
        <v>39186.286729999993</v>
      </c>
      <c r="F39" s="512">
        <f t="shared" si="1"/>
        <v>98.889522496532862</v>
      </c>
    </row>
    <row r="40" spans="1:6" ht="15.75" x14ac:dyDescent="0.25">
      <c r="A40" s="56" t="s">
        <v>158</v>
      </c>
      <c r="B40" s="16" t="s">
        <v>159</v>
      </c>
      <c r="C40" s="14"/>
      <c r="D40" s="25">
        <f t="shared" ref="D40:E40" si="8">D41+D42</f>
        <v>87745.180500000017</v>
      </c>
      <c r="E40" s="25">
        <f t="shared" si="8"/>
        <v>87717.674459999995</v>
      </c>
      <c r="F40" s="101">
        <f t="shared" si="1"/>
        <v>99.968652363761421</v>
      </c>
    </row>
    <row r="41" spans="1:6" ht="15.75" x14ac:dyDescent="0.25">
      <c r="A41" s="55" t="s">
        <v>160</v>
      </c>
      <c r="B41" s="14" t="s">
        <v>159</v>
      </c>
      <c r="C41" s="14" t="s">
        <v>81</v>
      </c>
      <c r="D41" s="18">
        <f>'Пр.3 Рд,пр, ЦС,ВР 23'!F893</f>
        <v>64388.321850000015</v>
      </c>
      <c r="E41" s="18">
        <f>'Пр.3 Рд,пр, ЦС,ВР 23'!G893</f>
        <v>64360.816369999993</v>
      </c>
      <c r="F41" s="512">
        <f t="shared" si="1"/>
        <v>99.957281880922295</v>
      </c>
    </row>
    <row r="42" spans="1:6" ht="15.75" x14ac:dyDescent="0.25">
      <c r="A42" s="55" t="s">
        <v>164</v>
      </c>
      <c r="B42" s="14" t="s">
        <v>159</v>
      </c>
      <c r="C42" s="14" t="s">
        <v>103</v>
      </c>
      <c r="D42" s="18">
        <f>'Пр.3 Рд,пр, ЦС,ВР 23'!F999</f>
        <v>23356.858649999998</v>
      </c>
      <c r="E42" s="18">
        <f>'Пр.3 Рд,пр, ЦС,ВР 23'!G999</f>
        <v>23356.858090000002</v>
      </c>
      <c r="F42" s="512">
        <f t="shared" si="1"/>
        <v>99.999997602417324</v>
      </c>
    </row>
    <row r="43" spans="1:6" ht="15.75" x14ac:dyDescent="0.25">
      <c r="A43" s="28" t="s">
        <v>133</v>
      </c>
      <c r="B43" s="16" t="s">
        <v>134</v>
      </c>
      <c r="C43" s="16"/>
      <c r="D43" s="25">
        <f>SUM(D44:D47)</f>
        <v>23116.069869999999</v>
      </c>
      <c r="E43" s="25">
        <f t="shared" ref="E43" si="9">SUM(E44:E47)</f>
        <v>22472.09618</v>
      </c>
      <c r="F43" s="101">
        <f t="shared" si="1"/>
        <v>97.214173111512579</v>
      </c>
    </row>
    <row r="44" spans="1:6" ht="15.75" x14ac:dyDescent="0.25">
      <c r="A44" s="53" t="s">
        <v>135</v>
      </c>
      <c r="B44" s="14" t="s">
        <v>134</v>
      </c>
      <c r="C44" s="14" t="s">
        <v>81</v>
      </c>
      <c r="D44" s="18">
        <f>'Пр.3 Рд,пр, ЦС,ВР 23'!F1051</f>
        <v>13526.847899999999</v>
      </c>
      <c r="E44" s="18">
        <f>'Пр.3 Рд,пр, ЦС,ВР 23'!G1051</f>
        <v>13526.847900000001</v>
      </c>
      <c r="F44" s="512">
        <f t="shared" si="1"/>
        <v>100.00000000000003</v>
      </c>
    </row>
    <row r="45" spans="1:6" ht="15.75" x14ac:dyDescent="0.25">
      <c r="A45" s="17" t="s">
        <v>141</v>
      </c>
      <c r="B45" s="14" t="s">
        <v>134</v>
      </c>
      <c r="C45" s="14" t="s">
        <v>120</v>
      </c>
      <c r="D45" s="18">
        <f>'Пр.3 Рд,пр, ЦС,ВР 23'!F1057</f>
        <v>1335.5183099999999</v>
      </c>
      <c r="E45" s="18">
        <f>'Пр.3 Рд,пр, ЦС,ВР 23'!G1057</f>
        <v>1335.51731</v>
      </c>
      <c r="F45" s="512">
        <f t="shared" si="1"/>
        <v>99.999925122703857</v>
      </c>
    </row>
    <row r="46" spans="1:6" s="75" customFormat="1" ht="15.75" x14ac:dyDescent="0.25">
      <c r="A46" s="17" t="s">
        <v>187</v>
      </c>
      <c r="B46" s="14" t="s">
        <v>134</v>
      </c>
      <c r="C46" s="14" t="s">
        <v>103</v>
      </c>
      <c r="D46" s="18">
        <f>'Пр.3 Рд,пр, ЦС,ВР 23'!F1081</f>
        <v>16.600000000000001</v>
      </c>
      <c r="E46" s="18">
        <f>'Пр.3 Рд,пр, ЦС,ВР 23'!G1081</f>
        <v>11.48157</v>
      </c>
      <c r="F46" s="512">
        <f t="shared" si="1"/>
        <v>69.166084337349389</v>
      </c>
    </row>
    <row r="47" spans="1:6" ht="15.75" x14ac:dyDescent="0.25">
      <c r="A47" s="17" t="s">
        <v>142</v>
      </c>
      <c r="B47" s="14" t="s">
        <v>134</v>
      </c>
      <c r="C47" s="14" t="s">
        <v>83</v>
      </c>
      <c r="D47" s="18">
        <f>'Пр.3 Рд,пр, ЦС,ВР 23'!F1088</f>
        <v>8237.1036599999989</v>
      </c>
      <c r="E47" s="18">
        <f>'Пр.3 Рд,пр, ЦС,ВР 23'!G1088</f>
        <v>7598.2493999999997</v>
      </c>
      <c r="F47" s="512">
        <f t="shared" si="1"/>
        <v>92.244188171355376</v>
      </c>
    </row>
    <row r="48" spans="1:6" ht="15.75" x14ac:dyDescent="0.25">
      <c r="A48" s="56" t="s">
        <v>196</v>
      </c>
      <c r="B48" s="16" t="s">
        <v>197</v>
      </c>
      <c r="C48" s="14"/>
      <c r="D48" s="25">
        <f>D49+D51+D50</f>
        <v>88927.747149999981</v>
      </c>
      <c r="E48" s="25">
        <f t="shared" ref="E48" si="10">E49+E51+E50</f>
        <v>85495.869489999997</v>
      </c>
      <c r="F48" s="101">
        <f t="shared" si="1"/>
        <v>96.140824691970181</v>
      </c>
    </row>
    <row r="49" spans="1:6" ht="15.75" x14ac:dyDescent="0.25">
      <c r="A49" s="55" t="s">
        <v>198</v>
      </c>
      <c r="B49" s="14" t="s">
        <v>197</v>
      </c>
      <c r="C49" s="14" t="s">
        <v>81</v>
      </c>
      <c r="D49" s="18">
        <f>'Пр.3 Рд,пр, ЦС,ВР 23'!F1121</f>
        <v>49747.441759999987</v>
      </c>
      <c r="E49" s="18">
        <f>'Пр.3 Рд,пр, ЦС,ВР 23'!G1121</f>
        <v>46360.78325</v>
      </c>
      <c r="F49" s="512">
        <f t="shared" si="1"/>
        <v>93.192296145923493</v>
      </c>
    </row>
    <row r="50" spans="1:6" s="131" customFormat="1" ht="15.75" x14ac:dyDescent="0.25">
      <c r="A50" s="55" t="s">
        <v>997</v>
      </c>
      <c r="B50" s="218" t="s">
        <v>197</v>
      </c>
      <c r="C50" s="218" t="s">
        <v>120</v>
      </c>
      <c r="D50" s="18">
        <f>'Пр.3 Рд,пр, ЦС,ВР 23'!F1178</f>
        <v>19701.184529999999</v>
      </c>
      <c r="E50" s="18">
        <f>'Пр.3 Рд,пр, ЦС,ВР 23'!G1178</f>
        <v>19661.615949999996</v>
      </c>
      <c r="F50" s="512">
        <f t="shared" si="1"/>
        <v>99.799156340372591</v>
      </c>
    </row>
    <row r="51" spans="1:6" ht="15.75" x14ac:dyDescent="0.25">
      <c r="A51" s="55" t="s">
        <v>200</v>
      </c>
      <c r="B51" s="14" t="s">
        <v>197</v>
      </c>
      <c r="C51" s="14" t="s">
        <v>129</v>
      </c>
      <c r="D51" s="18">
        <f>'Пр.3 Рд,пр, ЦС,ВР 23'!F1210</f>
        <v>19479.120859999999</v>
      </c>
      <c r="E51" s="18">
        <f>'Пр.3 Рд,пр, ЦС,ВР 23'!G1210</f>
        <v>19473.470289999997</v>
      </c>
      <c r="F51" s="512">
        <f t="shared" si="1"/>
        <v>99.970991657987994</v>
      </c>
    </row>
    <row r="52" spans="1:6" ht="15.75" x14ac:dyDescent="0.25">
      <c r="A52" s="13" t="s">
        <v>230</v>
      </c>
      <c r="B52" s="16" t="s">
        <v>132</v>
      </c>
      <c r="C52" s="14"/>
      <c r="D52" s="25">
        <f t="shared" ref="D52:E52" si="11">D53</f>
        <v>6528.3590699999995</v>
      </c>
      <c r="E52" s="25">
        <f t="shared" si="11"/>
        <v>6528.3590700000004</v>
      </c>
      <c r="F52" s="101">
        <f t="shared" si="1"/>
        <v>100.00000000000003</v>
      </c>
    </row>
    <row r="53" spans="1:6" ht="15.75" x14ac:dyDescent="0.25">
      <c r="A53" s="20" t="s">
        <v>231</v>
      </c>
      <c r="B53" s="14" t="s">
        <v>132</v>
      </c>
      <c r="C53" s="14" t="s">
        <v>119</v>
      </c>
      <c r="D53" s="18">
        <f>'Пр.3 Рд,пр, ЦС,ВР 23'!F1252</f>
        <v>6528.3590699999995</v>
      </c>
      <c r="E53" s="18">
        <f>'Пр.3 Рд,пр, ЦС,ВР 23'!G1252</f>
        <v>6528.3590700000004</v>
      </c>
      <c r="F53" s="512">
        <f t="shared" si="1"/>
        <v>100.00000000000003</v>
      </c>
    </row>
    <row r="54" spans="1:6" ht="15.75" x14ac:dyDescent="0.25">
      <c r="A54" s="52" t="s">
        <v>255</v>
      </c>
      <c r="B54" s="16"/>
      <c r="C54" s="16"/>
      <c r="D54" s="25">
        <f>D10+D20+D22+D27+D34+D40+D43+D48+D52+D18+D32</f>
        <v>1029844.2261399999</v>
      </c>
      <c r="E54" s="25">
        <f>E10+E20+E22+E27+E34+E40+E43+E48+E52+E18+E32+E9</f>
        <v>1019695.75006</v>
      </c>
      <c r="F54" s="101">
        <f t="shared" si="1"/>
        <v>99.01456202575045</v>
      </c>
    </row>
    <row r="55" spans="1:6" hidden="1" x14ac:dyDescent="0.25">
      <c r="D55" s="15">
        <f>'Пр.4 Ведом23'!G1420</f>
        <v>1029844.2261399999</v>
      </c>
      <c r="E55" s="15">
        <f>'Пр.4 Ведом23'!H1420</f>
        <v>1019695.7500600001</v>
      </c>
      <c r="F55" s="15">
        <f>'Пр.4 Ведом23'!I1420</f>
        <v>99.014562025750465</v>
      </c>
    </row>
    <row r="56" spans="1:6" hidden="1" x14ac:dyDescent="0.25">
      <c r="D56" s="15">
        <f t="shared" ref="D56:F56" si="12">D55-D54</f>
        <v>0</v>
      </c>
      <c r="E56" s="15">
        <f t="shared" si="12"/>
        <v>0</v>
      </c>
      <c r="F56" s="15">
        <f t="shared" si="12"/>
        <v>0</v>
      </c>
    </row>
    <row r="57" spans="1:6" hidden="1" x14ac:dyDescent="0.25">
      <c r="D57" s="15">
        <f>пр.1дох.23!C170</f>
        <v>0</v>
      </c>
      <c r="E57" s="15">
        <f>пр.1дох.23!D170</f>
        <v>-565.35217999999998</v>
      </c>
      <c r="F57" s="15" t="str">
        <f>пр.1дох.23!E170</f>
        <v>-</v>
      </c>
    </row>
    <row r="58" spans="1:6" hidden="1" x14ac:dyDescent="0.25">
      <c r="D58" s="15">
        <f>D57-D54</f>
        <v>-1029844.2261399999</v>
      </c>
      <c r="E58" s="15">
        <f t="shared" ref="E58:F58" si="13">E57-E54</f>
        <v>-1020261.10224</v>
      </c>
      <c r="F58" s="15" t="e">
        <f t="shared" si="13"/>
        <v>#VALUE!</v>
      </c>
    </row>
  </sheetData>
  <mergeCells count="13">
    <mergeCell ref="A7:A8"/>
    <mergeCell ref="B7:B8"/>
    <mergeCell ref="C7:C8"/>
    <mergeCell ref="B1:D1"/>
    <mergeCell ref="B3:D3"/>
    <mergeCell ref="B2:D2"/>
    <mergeCell ref="A5:F5"/>
    <mergeCell ref="E3:F3"/>
    <mergeCell ref="E1:F1"/>
    <mergeCell ref="E2:F2"/>
    <mergeCell ref="D7:D8"/>
    <mergeCell ref="E7:E8"/>
    <mergeCell ref="F7:F8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5"/>
  <sheetViews>
    <sheetView view="pageBreakPreview" zoomScale="80" zoomScaleNormal="100" zoomScaleSheetLayoutView="80" workbookViewId="0">
      <selection activeCell="G1" sqref="G1:H3"/>
    </sheetView>
  </sheetViews>
  <sheetFormatPr defaultRowHeight="15" x14ac:dyDescent="0.25"/>
  <cols>
    <col min="1" max="1" width="55.140625" style="179" customWidth="1"/>
    <col min="2" max="2" width="6.28515625" style="333" customWidth="1"/>
    <col min="3" max="3" width="5.85546875" style="333" customWidth="1"/>
    <col min="4" max="4" width="15.85546875" style="333" customWidth="1"/>
    <col min="5" max="5" width="8.5703125" style="333" customWidth="1"/>
    <col min="6" max="7" width="12.7109375" style="58" customWidth="1"/>
    <col min="8" max="8" width="11.85546875" style="58" customWidth="1"/>
    <col min="9" max="10" width="9.140625" style="132" customWidth="1"/>
    <col min="11" max="11" width="9.85546875" style="132" bestFit="1" customWidth="1"/>
    <col min="12" max="12" width="9.85546875" bestFit="1" customWidth="1"/>
  </cols>
  <sheetData>
    <row r="1" spans="1:12" ht="15.75" x14ac:dyDescent="0.25">
      <c r="A1" s="29"/>
      <c r="B1" s="29"/>
      <c r="C1" s="29"/>
      <c r="E1" s="593"/>
      <c r="F1" s="593"/>
      <c r="G1" s="628" t="s">
        <v>699</v>
      </c>
      <c r="H1" s="628"/>
    </row>
    <row r="2" spans="1:12" ht="15.75" x14ac:dyDescent="0.25">
      <c r="A2" s="29"/>
      <c r="B2" s="29"/>
      <c r="C2" s="29"/>
      <c r="E2" s="593"/>
      <c r="F2" s="593"/>
      <c r="G2" s="628" t="s">
        <v>1049</v>
      </c>
      <c r="H2" s="628"/>
    </row>
    <row r="3" spans="1:12" ht="18.75" customHeight="1" x14ac:dyDescent="0.25">
      <c r="A3" s="29"/>
      <c r="B3" s="29"/>
      <c r="C3" s="29"/>
      <c r="E3" s="593"/>
      <c r="F3" s="593"/>
      <c r="G3" s="628" t="s">
        <v>1162</v>
      </c>
      <c r="H3" s="628"/>
    </row>
    <row r="4" spans="1:12" ht="15.75" x14ac:dyDescent="0.25">
      <c r="A4" s="29"/>
      <c r="B4" s="29"/>
      <c r="C4" s="29"/>
      <c r="D4" s="29"/>
      <c r="E4" s="29"/>
      <c r="H4" s="245"/>
    </row>
    <row r="5" spans="1:12" ht="63.75" customHeight="1" x14ac:dyDescent="0.25">
      <c r="A5" s="600" t="s">
        <v>1131</v>
      </c>
      <c r="B5" s="600"/>
      <c r="C5" s="600"/>
      <c r="D5" s="600"/>
      <c r="E5" s="600"/>
      <c r="F5" s="600"/>
      <c r="G5" s="600"/>
      <c r="H5" s="600"/>
    </row>
    <row r="6" spans="1:12" s="131" customFormat="1" ht="15.75" customHeight="1" x14ac:dyDescent="0.25">
      <c r="A6" s="352"/>
      <c r="B6" s="352"/>
      <c r="C6" s="352"/>
      <c r="D6" s="352"/>
      <c r="E6" s="352"/>
      <c r="F6" s="346"/>
      <c r="G6" s="346"/>
      <c r="H6" s="347"/>
      <c r="I6" s="214"/>
      <c r="J6" s="214"/>
      <c r="K6" s="214"/>
    </row>
    <row r="7" spans="1:12" ht="14.45" customHeight="1" x14ac:dyDescent="0.25">
      <c r="A7" s="598" t="s">
        <v>234</v>
      </c>
      <c r="B7" s="599" t="s">
        <v>76</v>
      </c>
      <c r="C7" s="599" t="s">
        <v>77</v>
      </c>
      <c r="D7" s="599" t="s">
        <v>78</v>
      </c>
      <c r="E7" s="599" t="s">
        <v>79</v>
      </c>
      <c r="F7" s="601" t="s">
        <v>1127</v>
      </c>
      <c r="G7" s="601" t="s">
        <v>1128</v>
      </c>
      <c r="H7" s="601" t="s">
        <v>1129</v>
      </c>
    </row>
    <row r="8" spans="1:12" ht="36.6" customHeight="1" x14ac:dyDescent="0.25">
      <c r="A8" s="598"/>
      <c r="B8" s="599"/>
      <c r="C8" s="599"/>
      <c r="D8" s="599"/>
      <c r="E8" s="599"/>
      <c r="F8" s="602"/>
      <c r="G8" s="602"/>
      <c r="H8" s="602"/>
    </row>
    <row r="9" spans="1:12" s="131" customFormat="1" ht="20.25" hidden="1" customHeight="1" x14ac:dyDescent="0.25">
      <c r="A9" s="96" t="s">
        <v>875</v>
      </c>
      <c r="B9" s="83"/>
      <c r="C9" s="83"/>
      <c r="D9" s="83"/>
      <c r="E9" s="83"/>
      <c r="F9" s="93"/>
      <c r="G9" s="93"/>
      <c r="H9" s="97">
        <f>'Пр.4 Ведом23'!I10</f>
        <v>0</v>
      </c>
      <c r="I9" s="214"/>
      <c r="J9" s="214"/>
      <c r="K9" s="214"/>
    </row>
    <row r="10" spans="1:12" ht="15.75" x14ac:dyDescent="0.25">
      <c r="A10" s="130" t="s">
        <v>80</v>
      </c>
      <c r="B10" s="6" t="s">
        <v>81</v>
      </c>
      <c r="C10" s="6"/>
      <c r="D10" s="6"/>
      <c r="E10" s="6"/>
      <c r="F10" s="113">
        <f>F11+F33+F57+F123+F159+F167+F173</f>
        <v>224597.62783000001</v>
      </c>
      <c r="G10" s="113">
        <f>G11+G33+G57+G123+G159+G167+G173</f>
        <v>224011.27424000003</v>
      </c>
      <c r="H10" s="113">
        <f>G10/F10*100</f>
        <v>99.738931530281434</v>
      </c>
      <c r="K10" s="84"/>
      <c r="L10" s="86"/>
    </row>
    <row r="11" spans="1:12" ht="47.25" x14ac:dyDescent="0.25">
      <c r="A11" s="130" t="s">
        <v>227</v>
      </c>
      <c r="B11" s="6" t="s">
        <v>81</v>
      </c>
      <c r="C11" s="6" t="s">
        <v>119</v>
      </c>
      <c r="D11" s="6"/>
      <c r="E11" s="6"/>
      <c r="F11" s="343">
        <f>F12+F22</f>
        <v>7117.8675999999996</v>
      </c>
      <c r="G11" s="566">
        <f>G12+G22</f>
        <v>7117.8676000000005</v>
      </c>
      <c r="H11" s="113">
        <f t="shared" ref="H11:H74" si="0">G11/F11*100</f>
        <v>100.00000000000003</v>
      </c>
      <c r="K11" s="58"/>
    </row>
    <row r="12" spans="1:12" ht="31.5" x14ac:dyDescent="0.25">
      <c r="A12" s="116" t="s">
        <v>362</v>
      </c>
      <c r="B12" s="6" t="s">
        <v>81</v>
      </c>
      <c r="C12" s="6" t="s">
        <v>119</v>
      </c>
      <c r="D12" s="6" t="s">
        <v>321</v>
      </c>
      <c r="E12" s="6"/>
      <c r="F12" s="343">
        <f>F13</f>
        <v>7117.8675999999996</v>
      </c>
      <c r="G12" s="566">
        <f>G13</f>
        <v>7117.8676000000005</v>
      </c>
      <c r="H12" s="113">
        <f t="shared" si="0"/>
        <v>100.00000000000003</v>
      </c>
      <c r="K12" s="58"/>
    </row>
    <row r="13" spans="1:12" ht="15.75" x14ac:dyDescent="0.25">
      <c r="A13" s="116" t="s">
        <v>363</v>
      </c>
      <c r="B13" s="6" t="s">
        <v>81</v>
      </c>
      <c r="C13" s="6" t="s">
        <v>119</v>
      </c>
      <c r="D13" s="6" t="s">
        <v>322</v>
      </c>
      <c r="E13" s="6"/>
      <c r="F13" s="343">
        <f>F14+F19+F27+F30</f>
        <v>7117.8675999999996</v>
      </c>
      <c r="G13" s="566">
        <f>G14+G19+G27+G30</f>
        <v>7117.8676000000005</v>
      </c>
      <c r="H13" s="113">
        <f t="shared" si="0"/>
        <v>100.00000000000003</v>
      </c>
      <c r="K13" s="58"/>
    </row>
    <row r="14" spans="1:12" ht="31.5" x14ac:dyDescent="0.25">
      <c r="A14" s="335" t="s">
        <v>228</v>
      </c>
      <c r="B14" s="334" t="s">
        <v>81</v>
      </c>
      <c r="C14" s="334" t="s">
        <v>119</v>
      </c>
      <c r="D14" s="334" t="s">
        <v>638</v>
      </c>
      <c r="E14" s="334"/>
      <c r="F14" s="342">
        <f>F15</f>
        <v>6956.3268199999993</v>
      </c>
      <c r="G14" s="565">
        <f>G15</f>
        <v>6956.3268200000002</v>
      </c>
      <c r="H14" s="114">
        <f t="shared" si="0"/>
        <v>100.00000000000003</v>
      </c>
    </row>
    <row r="15" spans="1:12" ht="78.75" x14ac:dyDescent="0.25">
      <c r="A15" s="335" t="s">
        <v>84</v>
      </c>
      <c r="B15" s="334" t="s">
        <v>81</v>
      </c>
      <c r="C15" s="334" t="s">
        <v>119</v>
      </c>
      <c r="D15" s="334" t="s">
        <v>638</v>
      </c>
      <c r="E15" s="334" t="s">
        <v>85</v>
      </c>
      <c r="F15" s="303">
        <f>F16</f>
        <v>6956.3268199999993</v>
      </c>
      <c r="G15" s="303">
        <f>G16</f>
        <v>6956.3268200000002</v>
      </c>
      <c r="H15" s="114">
        <f t="shared" si="0"/>
        <v>100.00000000000003</v>
      </c>
    </row>
    <row r="16" spans="1:12" ht="31.5" x14ac:dyDescent="0.25">
      <c r="A16" s="335" t="s">
        <v>86</v>
      </c>
      <c r="B16" s="334" t="s">
        <v>81</v>
      </c>
      <c r="C16" s="334" t="s">
        <v>119</v>
      </c>
      <c r="D16" s="334" t="s">
        <v>638</v>
      </c>
      <c r="E16" s="334" t="s">
        <v>87</v>
      </c>
      <c r="F16" s="303">
        <f>'Пр.4 Ведом23'!G51</f>
        <v>6956.3268199999993</v>
      </c>
      <c r="G16" s="303">
        <f>'Пр.4 Ведом23'!H51</f>
        <v>6956.3268200000002</v>
      </c>
      <c r="H16" s="114">
        <f t="shared" si="0"/>
        <v>100.00000000000003</v>
      </c>
    </row>
    <row r="17" spans="1:11" ht="31.5" hidden="1" customHeight="1" x14ac:dyDescent="0.25">
      <c r="A17" s="335" t="s">
        <v>114</v>
      </c>
      <c r="B17" s="334" t="s">
        <v>81</v>
      </c>
      <c r="C17" s="334" t="s">
        <v>119</v>
      </c>
      <c r="D17" s="334" t="s">
        <v>638</v>
      </c>
      <c r="E17" s="334" t="s">
        <v>89</v>
      </c>
      <c r="F17" s="345">
        <f>F18</f>
        <v>0</v>
      </c>
      <c r="G17" s="345">
        <f>G18</f>
        <v>0</v>
      </c>
      <c r="H17" s="114" t="e">
        <f t="shared" si="0"/>
        <v>#DIV/0!</v>
      </c>
    </row>
    <row r="18" spans="1:11" ht="47.25" hidden="1" customHeight="1" x14ac:dyDescent="0.25">
      <c r="A18" s="335" t="s">
        <v>90</v>
      </c>
      <c r="B18" s="334" t="s">
        <v>81</v>
      </c>
      <c r="C18" s="334" t="s">
        <v>119</v>
      </c>
      <c r="D18" s="334" t="s">
        <v>638</v>
      </c>
      <c r="E18" s="334" t="s">
        <v>91</v>
      </c>
      <c r="F18" s="345">
        <f>'Пр.4 Ведом23'!G53</f>
        <v>0</v>
      </c>
      <c r="G18" s="345">
        <f>'Пр.4 Ведом23'!H53</f>
        <v>0</v>
      </c>
      <c r="H18" s="114" t="e">
        <f t="shared" si="0"/>
        <v>#DIV/0!</v>
      </c>
    </row>
    <row r="19" spans="1:11" s="75" customFormat="1" ht="47.25" hidden="1" customHeight="1" x14ac:dyDescent="0.25">
      <c r="A19" s="335" t="s">
        <v>304</v>
      </c>
      <c r="B19" s="334" t="s">
        <v>81</v>
      </c>
      <c r="C19" s="334" t="s">
        <v>119</v>
      </c>
      <c r="D19" s="334" t="s">
        <v>325</v>
      </c>
      <c r="E19" s="334"/>
      <c r="F19" s="345">
        <f>F20</f>
        <v>0</v>
      </c>
      <c r="G19" s="345">
        <f>G20</f>
        <v>0</v>
      </c>
      <c r="H19" s="114" t="e">
        <f t="shared" si="0"/>
        <v>#DIV/0!</v>
      </c>
      <c r="I19" s="132"/>
      <c r="J19" s="132"/>
      <c r="K19" s="132"/>
    </row>
    <row r="20" spans="1:11" s="75" customFormat="1" ht="78.75" hidden="1" customHeight="1" x14ac:dyDescent="0.25">
      <c r="A20" s="335" t="s">
        <v>84</v>
      </c>
      <c r="B20" s="334" t="s">
        <v>81</v>
      </c>
      <c r="C20" s="334" t="s">
        <v>119</v>
      </c>
      <c r="D20" s="334" t="s">
        <v>325</v>
      </c>
      <c r="E20" s="334" t="s">
        <v>85</v>
      </c>
      <c r="F20" s="345">
        <f>F21</f>
        <v>0</v>
      </c>
      <c r="G20" s="345">
        <f>G21</f>
        <v>0</v>
      </c>
      <c r="H20" s="114" t="e">
        <f t="shared" si="0"/>
        <v>#DIV/0!</v>
      </c>
      <c r="I20" s="132"/>
      <c r="J20" s="132"/>
      <c r="K20" s="132"/>
    </row>
    <row r="21" spans="1:11" s="75" customFormat="1" ht="31.5" hidden="1" customHeight="1" x14ac:dyDescent="0.25">
      <c r="A21" s="335" t="s">
        <v>86</v>
      </c>
      <c r="B21" s="334" t="s">
        <v>81</v>
      </c>
      <c r="C21" s="334" t="s">
        <v>119</v>
      </c>
      <c r="D21" s="334" t="s">
        <v>325</v>
      </c>
      <c r="E21" s="334" t="s">
        <v>87</v>
      </c>
      <c r="F21" s="345">
        <f>'Пр.4 Ведом23'!G56</f>
        <v>0</v>
      </c>
      <c r="G21" s="345">
        <f>'Пр.4 Ведом23'!H56</f>
        <v>0</v>
      </c>
      <c r="H21" s="114" t="e">
        <f t="shared" si="0"/>
        <v>#DIV/0!</v>
      </c>
      <c r="I21" s="132"/>
      <c r="J21" s="132"/>
      <c r="K21" s="132"/>
    </row>
    <row r="22" spans="1:11" s="75" customFormat="1" ht="47.25" hidden="1" customHeight="1" x14ac:dyDescent="0.25">
      <c r="A22" s="116" t="s">
        <v>849</v>
      </c>
      <c r="B22" s="117" t="s">
        <v>81</v>
      </c>
      <c r="C22" s="117" t="s">
        <v>119</v>
      </c>
      <c r="D22" s="117" t="s">
        <v>106</v>
      </c>
      <c r="E22" s="117"/>
      <c r="F22" s="304">
        <f t="shared" ref="F22:G25" si="1">F23</f>
        <v>0</v>
      </c>
      <c r="G22" s="304">
        <f t="shared" si="1"/>
        <v>0</v>
      </c>
      <c r="H22" s="114" t="e">
        <f t="shared" si="0"/>
        <v>#DIV/0!</v>
      </c>
      <c r="I22" s="132"/>
      <c r="J22" s="132"/>
      <c r="K22" s="132"/>
    </row>
    <row r="23" spans="1:11" s="75" customFormat="1" ht="78.75" hidden="1" customHeight="1" x14ac:dyDescent="0.25">
      <c r="A23" s="213" t="s">
        <v>850</v>
      </c>
      <c r="B23" s="117" t="s">
        <v>81</v>
      </c>
      <c r="C23" s="117" t="s">
        <v>119</v>
      </c>
      <c r="D23" s="6" t="s">
        <v>313</v>
      </c>
      <c r="E23" s="117"/>
      <c r="F23" s="304">
        <f t="shared" si="1"/>
        <v>0</v>
      </c>
      <c r="G23" s="304">
        <f t="shared" si="1"/>
        <v>0</v>
      </c>
      <c r="H23" s="114" t="e">
        <f t="shared" si="0"/>
        <v>#DIV/0!</v>
      </c>
      <c r="I23" s="132"/>
      <c r="J23" s="132"/>
      <c r="K23" s="132"/>
    </row>
    <row r="24" spans="1:11" s="75" customFormat="1" ht="47.25" hidden="1" customHeight="1" x14ac:dyDescent="0.25">
      <c r="A24" s="20" t="s">
        <v>256</v>
      </c>
      <c r="B24" s="334" t="s">
        <v>81</v>
      </c>
      <c r="C24" s="334" t="s">
        <v>119</v>
      </c>
      <c r="D24" s="217" t="s">
        <v>422</v>
      </c>
      <c r="E24" s="334"/>
      <c r="F24" s="337">
        <f t="shared" si="1"/>
        <v>0</v>
      </c>
      <c r="G24" s="337">
        <f t="shared" si="1"/>
        <v>0</v>
      </c>
      <c r="H24" s="114" t="e">
        <f t="shared" si="0"/>
        <v>#DIV/0!</v>
      </c>
      <c r="I24" s="132"/>
      <c r="J24" s="132"/>
      <c r="K24" s="132"/>
    </row>
    <row r="25" spans="1:11" s="75" customFormat="1" ht="31.5" hidden="1" customHeight="1" x14ac:dyDescent="0.25">
      <c r="A25" s="335" t="s">
        <v>88</v>
      </c>
      <c r="B25" s="334" t="s">
        <v>81</v>
      </c>
      <c r="C25" s="334" t="s">
        <v>119</v>
      </c>
      <c r="D25" s="217" t="s">
        <v>422</v>
      </c>
      <c r="E25" s="334" t="s">
        <v>89</v>
      </c>
      <c r="F25" s="337">
        <f t="shared" si="1"/>
        <v>0</v>
      </c>
      <c r="G25" s="337">
        <f t="shared" si="1"/>
        <v>0</v>
      </c>
      <c r="H25" s="114" t="e">
        <f t="shared" si="0"/>
        <v>#DIV/0!</v>
      </c>
      <c r="I25" s="132"/>
      <c r="J25" s="132"/>
      <c r="K25" s="132"/>
    </row>
    <row r="26" spans="1:11" s="75" customFormat="1" ht="47.25" hidden="1" customHeight="1" x14ac:dyDescent="0.25">
      <c r="A26" s="335" t="s">
        <v>90</v>
      </c>
      <c r="B26" s="334" t="s">
        <v>81</v>
      </c>
      <c r="C26" s="334" t="s">
        <v>119</v>
      </c>
      <c r="D26" s="217" t="s">
        <v>422</v>
      </c>
      <c r="E26" s="334" t="s">
        <v>91</v>
      </c>
      <c r="F26" s="337">
        <f>'Пр.4 Ведом23'!G67</f>
        <v>0</v>
      </c>
      <c r="G26" s="337">
        <f>'Пр.4 Ведом23'!H67</f>
        <v>0</v>
      </c>
      <c r="H26" s="114" t="e">
        <f t="shared" si="0"/>
        <v>#DIV/0!</v>
      </c>
      <c r="I26" s="132"/>
      <c r="J26" s="132"/>
      <c r="K26" s="132"/>
    </row>
    <row r="27" spans="1:11" s="332" customFormat="1" ht="31.5" x14ac:dyDescent="0.25">
      <c r="A27" s="335" t="s">
        <v>1085</v>
      </c>
      <c r="B27" s="334" t="s">
        <v>81</v>
      </c>
      <c r="C27" s="334" t="s">
        <v>119</v>
      </c>
      <c r="D27" s="334" t="s">
        <v>1081</v>
      </c>
      <c r="E27" s="334"/>
      <c r="F27" s="337">
        <f>F28</f>
        <v>34.590000000000003</v>
      </c>
      <c r="G27" s="337">
        <f>G28</f>
        <v>34.590000000000003</v>
      </c>
      <c r="H27" s="114">
        <f t="shared" si="0"/>
        <v>100</v>
      </c>
      <c r="I27" s="333"/>
      <c r="J27" s="333"/>
      <c r="K27" s="333"/>
    </row>
    <row r="28" spans="1:11" s="332" customFormat="1" ht="78.75" x14ac:dyDescent="0.25">
      <c r="A28" s="335" t="s">
        <v>84</v>
      </c>
      <c r="B28" s="334" t="s">
        <v>81</v>
      </c>
      <c r="C28" s="334" t="s">
        <v>119</v>
      </c>
      <c r="D28" s="334" t="s">
        <v>1081</v>
      </c>
      <c r="E28" s="334" t="s">
        <v>85</v>
      </c>
      <c r="F28" s="337">
        <f>F29</f>
        <v>34.590000000000003</v>
      </c>
      <c r="G28" s="337">
        <f>G29</f>
        <v>34.590000000000003</v>
      </c>
      <c r="H28" s="114">
        <f t="shared" si="0"/>
        <v>100</v>
      </c>
      <c r="I28" s="333"/>
      <c r="J28" s="333"/>
      <c r="K28" s="333"/>
    </row>
    <row r="29" spans="1:11" s="332" customFormat="1" ht="31.5" x14ac:dyDescent="0.25">
      <c r="A29" s="335" t="s">
        <v>86</v>
      </c>
      <c r="B29" s="334" t="s">
        <v>81</v>
      </c>
      <c r="C29" s="334" t="s">
        <v>119</v>
      </c>
      <c r="D29" s="334" t="s">
        <v>1081</v>
      </c>
      <c r="E29" s="334" t="s">
        <v>87</v>
      </c>
      <c r="F29" s="337">
        <f>'Пр.4 Ведом23'!G59</f>
        <v>34.590000000000003</v>
      </c>
      <c r="G29" s="337">
        <f>'Пр.4 Ведом23'!H59</f>
        <v>34.590000000000003</v>
      </c>
      <c r="H29" s="114">
        <f t="shared" si="0"/>
        <v>100</v>
      </c>
      <c r="I29" s="333"/>
      <c r="J29" s="333"/>
      <c r="K29" s="333"/>
    </row>
    <row r="30" spans="1:11" s="332" customFormat="1" ht="31.5" customHeight="1" x14ac:dyDescent="0.25">
      <c r="A30" s="335" t="s">
        <v>1107</v>
      </c>
      <c r="B30" s="334" t="s">
        <v>81</v>
      </c>
      <c r="C30" s="334" t="s">
        <v>119</v>
      </c>
      <c r="D30" s="334" t="s">
        <v>1106</v>
      </c>
      <c r="E30" s="334"/>
      <c r="F30" s="337">
        <f>F31</f>
        <v>126.95077999999999</v>
      </c>
      <c r="G30" s="337">
        <f>G31</f>
        <v>126.95077999999999</v>
      </c>
      <c r="H30" s="114">
        <f t="shared" si="0"/>
        <v>100</v>
      </c>
      <c r="I30" s="333"/>
      <c r="J30" s="333"/>
      <c r="K30" s="333"/>
    </row>
    <row r="31" spans="1:11" s="332" customFormat="1" ht="78.75" x14ac:dyDescent="0.25">
      <c r="A31" s="335" t="s">
        <v>84</v>
      </c>
      <c r="B31" s="334" t="s">
        <v>81</v>
      </c>
      <c r="C31" s="334" t="s">
        <v>119</v>
      </c>
      <c r="D31" s="334" t="s">
        <v>1106</v>
      </c>
      <c r="E31" s="334" t="s">
        <v>85</v>
      </c>
      <c r="F31" s="337">
        <f>F32</f>
        <v>126.95077999999999</v>
      </c>
      <c r="G31" s="337">
        <f>G32</f>
        <v>126.95077999999999</v>
      </c>
      <c r="H31" s="114">
        <f t="shared" si="0"/>
        <v>100</v>
      </c>
      <c r="I31" s="333"/>
      <c r="J31" s="333"/>
      <c r="K31" s="333"/>
    </row>
    <row r="32" spans="1:11" s="332" customFormat="1" ht="37.5" customHeight="1" x14ac:dyDescent="0.25">
      <c r="A32" s="335" t="s">
        <v>86</v>
      </c>
      <c r="B32" s="334" t="s">
        <v>81</v>
      </c>
      <c r="C32" s="334" t="s">
        <v>119</v>
      </c>
      <c r="D32" s="334" t="s">
        <v>1106</v>
      </c>
      <c r="E32" s="334" t="s">
        <v>87</v>
      </c>
      <c r="F32" s="337">
        <f>'Пр.4 Ведом23'!G62</f>
        <v>126.95077999999999</v>
      </c>
      <c r="G32" s="337">
        <f>'Пр.4 Ведом23'!H62</f>
        <v>126.95077999999999</v>
      </c>
      <c r="H32" s="114">
        <f t="shared" si="0"/>
        <v>100</v>
      </c>
      <c r="I32" s="333"/>
      <c r="J32" s="333"/>
      <c r="K32" s="333"/>
    </row>
    <row r="33" spans="1:11" ht="63" x14ac:dyDescent="0.25">
      <c r="A33" s="116" t="s">
        <v>229</v>
      </c>
      <c r="B33" s="117" t="s">
        <v>81</v>
      </c>
      <c r="C33" s="117" t="s">
        <v>120</v>
      </c>
      <c r="D33" s="117"/>
      <c r="E33" s="117"/>
      <c r="F33" s="343">
        <f>F34</f>
        <v>8428.4557799999984</v>
      </c>
      <c r="G33" s="566">
        <f>G34</f>
        <v>8425.5451899999989</v>
      </c>
      <c r="H33" s="113">
        <f t="shared" si="0"/>
        <v>99.96546710244472</v>
      </c>
    </row>
    <row r="34" spans="1:11" ht="31.5" x14ac:dyDescent="0.25">
      <c r="A34" s="116" t="s">
        <v>362</v>
      </c>
      <c r="B34" s="117" t="s">
        <v>81</v>
      </c>
      <c r="C34" s="117" t="s">
        <v>120</v>
      </c>
      <c r="D34" s="117" t="s">
        <v>321</v>
      </c>
      <c r="E34" s="117"/>
      <c r="F34" s="343">
        <f>F35</f>
        <v>8428.4557799999984</v>
      </c>
      <c r="G34" s="566">
        <f>G35</f>
        <v>8425.5451899999989</v>
      </c>
      <c r="H34" s="113">
        <f t="shared" si="0"/>
        <v>99.96546710244472</v>
      </c>
    </row>
    <row r="35" spans="1:11" ht="31.5" x14ac:dyDescent="0.25">
      <c r="A35" s="116" t="s">
        <v>417</v>
      </c>
      <c r="B35" s="117" t="s">
        <v>81</v>
      </c>
      <c r="C35" s="117" t="s">
        <v>120</v>
      </c>
      <c r="D35" s="117" t="s">
        <v>418</v>
      </c>
      <c r="E35" s="117"/>
      <c r="F35" s="343">
        <f>F36+F43+F48+F54+F51</f>
        <v>8428.4557799999984</v>
      </c>
      <c r="G35" s="566">
        <f>G36+G43+G48+G54+G51</f>
        <v>8425.5451899999989</v>
      </c>
      <c r="H35" s="113">
        <f t="shared" si="0"/>
        <v>99.96546710244472</v>
      </c>
    </row>
    <row r="36" spans="1:11" s="75" customFormat="1" ht="31.15" customHeight="1" x14ac:dyDescent="0.25">
      <c r="A36" s="319" t="s">
        <v>643</v>
      </c>
      <c r="B36" s="334" t="s">
        <v>81</v>
      </c>
      <c r="C36" s="334" t="s">
        <v>120</v>
      </c>
      <c r="D36" s="334" t="s">
        <v>649</v>
      </c>
      <c r="E36" s="117"/>
      <c r="F36" s="342">
        <f>F37+F39+F41</f>
        <v>6353.19</v>
      </c>
      <c r="G36" s="565">
        <f>G37+G39+G41</f>
        <v>6350.6651099999999</v>
      </c>
      <c r="H36" s="114">
        <f t="shared" si="0"/>
        <v>99.960257917676003</v>
      </c>
      <c r="I36" s="132"/>
      <c r="J36" s="132"/>
      <c r="K36" s="132"/>
    </row>
    <row r="37" spans="1:11" s="75" customFormat="1" ht="78.75" x14ac:dyDescent="0.25">
      <c r="A37" s="335" t="s">
        <v>84</v>
      </c>
      <c r="B37" s="334" t="s">
        <v>81</v>
      </c>
      <c r="C37" s="334" t="s">
        <v>120</v>
      </c>
      <c r="D37" s="334" t="s">
        <v>649</v>
      </c>
      <c r="E37" s="334" t="s">
        <v>85</v>
      </c>
      <c r="F37" s="342">
        <f>F38</f>
        <v>6335.9299999999994</v>
      </c>
      <c r="G37" s="565">
        <f>G38</f>
        <v>6333.4051099999997</v>
      </c>
      <c r="H37" s="114">
        <f t="shared" si="0"/>
        <v>99.960149654431163</v>
      </c>
      <c r="I37" s="132"/>
      <c r="J37" s="132"/>
      <c r="K37" s="132"/>
    </row>
    <row r="38" spans="1:11" s="75" customFormat="1" ht="31.5" x14ac:dyDescent="0.25">
      <c r="A38" s="335" t="s">
        <v>86</v>
      </c>
      <c r="B38" s="334" t="s">
        <v>81</v>
      </c>
      <c r="C38" s="334" t="s">
        <v>120</v>
      </c>
      <c r="D38" s="334" t="s">
        <v>649</v>
      </c>
      <c r="E38" s="334" t="s">
        <v>87</v>
      </c>
      <c r="F38" s="342">
        <f>'Пр.4 Ведом23'!G1401</f>
        <v>6335.9299999999994</v>
      </c>
      <c r="G38" s="565">
        <f>'Пр.4 Ведом23'!H1401</f>
        <v>6333.4051099999997</v>
      </c>
      <c r="H38" s="114">
        <f t="shared" si="0"/>
        <v>99.960149654431163</v>
      </c>
      <c r="I38" s="132"/>
      <c r="J38" s="132"/>
      <c r="K38" s="132"/>
    </row>
    <row r="39" spans="1:11" s="75" customFormat="1" ht="31.5" x14ac:dyDescent="0.25">
      <c r="A39" s="335" t="s">
        <v>114</v>
      </c>
      <c r="B39" s="334" t="s">
        <v>81</v>
      </c>
      <c r="C39" s="334" t="s">
        <v>120</v>
      </c>
      <c r="D39" s="334" t="s">
        <v>649</v>
      </c>
      <c r="E39" s="334" t="s">
        <v>89</v>
      </c>
      <c r="F39" s="342">
        <f>F40</f>
        <v>17.010000000000005</v>
      </c>
      <c r="G39" s="565">
        <f>G40</f>
        <v>17.010000000000002</v>
      </c>
      <c r="H39" s="114">
        <f t="shared" si="0"/>
        <v>99.999999999999972</v>
      </c>
      <c r="I39" s="132"/>
      <c r="J39" s="132"/>
      <c r="K39" s="132"/>
    </row>
    <row r="40" spans="1:11" s="75" customFormat="1" ht="31.5" customHeight="1" x14ac:dyDescent="0.25">
      <c r="A40" s="335" t="s">
        <v>90</v>
      </c>
      <c r="B40" s="334" t="s">
        <v>81</v>
      </c>
      <c r="C40" s="334" t="s">
        <v>120</v>
      </c>
      <c r="D40" s="334" t="s">
        <v>649</v>
      </c>
      <c r="E40" s="334" t="s">
        <v>91</v>
      </c>
      <c r="F40" s="342">
        <f>'Пр.4 Ведом23'!G1403</f>
        <v>17.010000000000005</v>
      </c>
      <c r="G40" s="565">
        <f>'Пр.4 Ведом23'!H1403</f>
        <v>17.010000000000002</v>
      </c>
      <c r="H40" s="114">
        <f t="shared" si="0"/>
        <v>99.999999999999972</v>
      </c>
      <c r="I40" s="132"/>
      <c r="J40" s="132"/>
      <c r="K40" s="132"/>
    </row>
    <row r="41" spans="1:11" s="131" customFormat="1" ht="15.75" x14ac:dyDescent="0.25">
      <c r="A41" s="335" t="s">
        <v>92</v>
      </c>
      <c r="B41" s="334" t="s">
        <v>81</v>
      </c>
      <c r="C41" s="334" t="s">
        <v>120</v>
      </c>
      <c r="D41" s="334" t="s">
        <v>649</v>
      </c>
      <c r="E41" s="334" t="s">
        <v>98</v>
      </c>
      <c r="F41" s="342">
        <f>F42</f>
        <v>0.25</v>
      </c>
      <c r="G41" s="565">
        <f>G42</f>
        <v>0.25</v>
      </c>
      <c r="H41" s="114">
        <f t="shared" si="0"/>
        <v>100</v>
      </c>
      <c r="I41" s="214"/>
      <c r="J41" s="214"/>
      <c r="K41" s="214"/>
    </row>
    <row r="42" spans="1:11" s="131" customFormat="1" ht="15.75" x14ac:dyDescent="0.25">
      <c r="A42" s="335" t="s">
        <v>223</v>
      </c>
      <c r="B42" s="334" t="s">
        <v>81</v>
      </c>
      <c r="C42" s="334" t="s">
        <v>120</v>
      </c>
      <c r="D42" s="334" t="s">
        <v>649</v>
      </c>
      <c r="E42" s="334" t="s">
        <v>94</v>
      </c>
      <c r="F42" s="565">
        <f>'Пр.4 Ведом23'!G1405</f>
        <v>0.25</v>
      </c>
      <c r="G42" s="565">
        <f>'Пр.4 Ведом23'!H1405</f>
        <v>0.25</v>
      </c>
      <c r="H42" s="114">
        <f t="shared" si="0"/>
        <v>100</v>
      </c>
      <c r="I42" s="214"/>
      <c r="J42" s="214"/>
      <c r="K42" s="214"/>
    </row>
    <row r="43" spans="1:11" ht="31.5" x14ac:dyDescent="0.25">
      <c r="A43" s="335" t="s">
        <v>420</v>
      </c>
      <c r="B43" s="334" t="s">
        <v>81</v>
      </c>
      <c r="C43" s="334" t="s">
        <v>120</v>
      </c>
      <c r="D43" s="334" t="s">
        <v>421</v>
      </c>
      <c r="E43" s="334"/>
      <c r="F43" s="342">
        <f>F44+F46</f>
        <v>1785.1499999999999</v>
      </c>
      <c r="G43" s="565">
        <f>G44+G46</f>
        <v>1784.7643</v>
      </c>
      <c r="H43" s="114">
        <f t="shared" si="0"/>
        <v>99.978393972495311</v>
      </c>
    </row>
    <row r="44" spans="1:11" ht="78.75" x14ac:dyDescent="0.25">
      <c r="A44" s="335" t="s">
        <v>84</v>
      </c>
      <c r="B44" s="334" t="s">
        <v>81</v>
      </c>
      <c r="C44" s="334" t="s">
        <v>120</v>
      </c>
      <c r="D44" s="334" t="s">
        <v>421</v>
      </c>
      <c r="E44" s="334" t="s">
        <v>85</v>
      </c>
      <c r="F44" s="303">
        <f>F45</f>
        <v>1785.1499999999999</v>
      </c>
      <c r="G44" s="303">
        <f>G45</f>
        <v>1784.7643</v>
      </c>
      <c r="H44" s="114">
        <f t="shared" si="0"/>
        <v>99.978393972495311</v>
      </c>
    </row>
    <row r="45" spans="1:11" ht="31.5" x14ac:dyDescent="0.25">
      <c r="A45" s="335" t="s">
        <v>86</v>
      </c>
      <c r="B45" s="334" t="s">
        <v>81</v>
      </c>
      <c r="C45" s="334" t="s">
        <v>120</v>
      </c>
      <c r="D45" s="334" t="s">
        <v>421</v>
      </c>
      <c r="E45" s="334" t="s">
        <v>87</v>
      </c>
      <c r="F45" s="303">
        <f>'Пр.4 Ведом23'!G1408</f>
        <v>1785.1499999999999</v>
      </c>
      <c r="G45" s="303">
        <f>'Пр.4 Ведом23'!H1408</f>
        <v>1784.7643</v>
      </c>
      <c r="H45" s="114">
        <f t="shared" si="0"/>
        <v>99.978393972495311</v>
      </c>
    </row>
    <row r="46" spans="1:11" ht="31.5" hidden="1" customHeight="1" x14ac:dyDescent="0.25">
      <c r="A46" s="335" t="s">
        <v>114</v>
      </c>
      <c r="B46" s="334" t="s">
        <v>81</v>
      </c>
      <c r="C46" s="334" t="s">
        <v>120</v>
      </c>
      <c r="D46" s="334" t="s">
        <v>421</v>
      </c>
      <c r="E46" s="334" t="s">
        <v>89</v>
      </c>
      <c r="F46" s="342">
        <f>F47</f>
        <v>0</v>
      </c>
      <c r="G46" s="565">
        <f>G47</f>
        <v>0</v>
      </c>
      <c r="H46" s="114" t="e">
        <f t="shared" si="0"/>
        <v>#DIV/0!</v>
      </c>
    </row>
    <row r="47" spans="1:11" ht="31.5" hidden="1" customHeight="1" x14ac:dyDescent="0.25">
      <c r="A47" s="335" t="s">
        <v>90</v>
      </c>
      <c r="B47" s="334" t="s">
        <v>81</v>
      </c>
      <c r="C47" s="334" t="s">
        <v>120</v>
      </c>
      <c r="D47" s="334" t="s">
        <v>421</v>
      </c>
      <c r="E47" s="334" t="s">
        <v>91</v>
      </c>
      <c r="F47" s="342">
        <f>'Пр.4 Ведом23'!G1410</f>
        <v>0</v>
      </c>
      <c r="G47" s="565">
        <f>'Пр.4 Ведом23'!H1410</f>
        <v>0</v>
      </c>
      <c r="H47" s="114" t="e">
        <f t="shared" si="0"/>
        <v>#DIV/0!</v>
      </c>
    </row>
    <row r="48" spans="1:11" s="75" customFormat="1" ht="30.2" customHeight="1" x14ac:dyDescent="0.25">
      <c r="A48" s="335" t="s">
        <v>304</v>
      </c>
      <c r="B48" s="334" t="s">
        <v>81</v>
      </c>
      <c r="C48" s="334" t="s">
        <v>120</v>
      </c>
      <c r="D48" s="334" t="s">
        <v>419</v>
      </c>
      <c r="E48" s="334"/>
      <c r="F48" s="345">
        <f>F49</f>
        <v>93.984999999999999</v>
      </c>
      <c r="G48" s="345">
        <f>G49</f>
        <v>93.984999999999999</v>
      </c>
      <c r="H48" s="114">
        <f t="shared" si="0"/>
        <v>100</v>
      </c>
      <c r="I48" s="132"/>
      <c r="J48" s="132"/>
      <c r="K48" s="132"/>
    </row>
    <row r="49" spans="1:11" s="75" customFormat="1" ht="85.7" customHeight="1" x14ac:dyDescent="0.25">
      <c r="A49" s="335" t="s">
        <v>84</v>
      </c>
      <c r="B49" s="334" t="s">
        <v>81</v>
      </c>
      <c r="C49" s="334" t="s">
        <v>120</v>
      </c>
      <c r="D49" s="334" t="s">
        <v>419</v>
      </c>
      <c r="E49" s="334" t="s">
        <v>85</v>
      </c>
      <c r="F49" s="345">
        <f>F50</f>
        <v>93.984999999999999</v>
      </c>
      <c r="G49" s="345">
        <f>G50</f>
        <v>93.984999999999999</v>
      </c>
      <c r="H49" s="114">
        <f t="shared" si="0"/>
        <v>100</v>
      </c>
      <c r="I49" s="132"/>
      <c r="J49" s="132"/>
      <c r="K49" s="132"/>
    </row>
    <row r="50" spans="1:11" s="75" customFormat="1" ht="38.25" customHeight="1" x14ac:dyDescent="0.25">
      <c r="A50" s="335" t="s">
        <v>86</v>
      </c>
      <c r="B50" s="334" t="s">
        <v>81</v>
      </c>
      <c r="C50" s="334" t="s">
        <v>120</v>
      </c>
      <c r="D50" s="334" t="s">
        <v>419</v>
      </c>
      <c r="E50" s="334" t="s">
        <v>87</v>
      </c>
      <c r="F50" s="345">
        <f>'Пр.4 Ведом23'!G1413</f>
        <v>93.984999999999999</v>
      </c>
      <c r="G50" s="345">
        <f>'Пр.4 Ведом23'!H1413</f>
        <v>93.984999999999999</v>
      </c>
      <c r="H50" s="114">
        <f t="shared" si="0"/>
        <v>100</v>
      </c>
      <c r="I50" s="132"/>
      <c r="J50" s="132"/>
      <c r="K50" s="132"/>
    </row>
    <row r="51" spans="1:11" s="332" customFormat="1" ht="58.15" customHeight="1" x14ac:dyDescent="0.25">
      <c r="A51" s="335" t="s">
        <v>1107</v>
      </c>
      <c r="B51" s="334" t="s">
        <v>81</v>
      </c>
      <c r="C51" s="334" t="s">
        <v>120</v>
      </c>
      <c r="D51" s="334" t="s">
        <v>1115</v>
      </c>
      <c r="E51" s="334"/>
      <c r="F51" s="345">
        <f>F52</f>
        <v>126.95077999999999</v>
      </c>
      <c r="G51" s="345">
        <f>G52</f>
        <v>126.95077999999999</v>
      </c>
      <c r="H51" s="114">
        <f t="shared" si="0"/>
        <v>100</v>
      </c>
      <c r="I51" s="333"/>
      <c r="J51" s="333"/>
      <c r="K51" s="333"/>
    </row>
    <row r="52" spans="1:11" s="332" customFormat="1" ht="78.75" x14ac:dyDescent="0.25">
      <c r="A52" s="335" t="s">
        <v>84</v>
      </c>
      <c r="B52" s="334" t="s">
        <v>81</v>
      </c>
      <c r="C52" s="334" t="s">
        <v>120</v>
      </c>
      <c r="D52" s="334" t="s">
        <v>1115</v>
      </c>
      <c r="E52" s="334" t="s">
        <v>85</v>
      </c>
      <c r="F52" s="345">
        <f>F53</f>
        <v>126.95077999999999</v>
      </c>
      <c r="G52" s="345">
        <f>G53</f>
        <v>126.95077999999999</v>
      </c>
      <c r="H52" s="114">
        <f t="shared" si="0"/>
        <v>100</v>
      </c>
      <c r="I52" s="333"/>
      <c r="J52" s="333"/>
      <c r="K52" s="333"/>
    </row>
    <row r="53" spans="1:11" s="332" customFormat="1" ht="32.450000000000003" customHeight="1" x14ac:dyDescent="0.25">
      <c r="A53" s="335" t="s">
        <v>86</v>
      </c>
      <c r="B53" s="334" t="s">
        <v>81</v>
      </c>
      <c r="C53" s="334" t="s">
        <v>120</v>
      </c>
      <c r="D53" s="334" t="s">
        <v>1115</v>
      </c>
      <c r="E53" s="334" t="s">
        <v>87</v>
      </c>
      <c r="F53" s="345">
        <f>'Пр.4 Ведом23'!G1419</f>
        <v>126.95077999999999</v>
      </c>
      <c r="G53" s="345">
        <f>'Пр.4 Ведом23'!H1419</f>
        <v>126.95077999999999</v>
      </c>
      <c r="H53" s="114">
        <f t="shared" si="0"/>
        <v>100</v>
      </c>
      <c r="I53" s="333"/>
      <c r="J53" s="333"/>
      <c r="K53" s="333"/>
    </row>
    <row r="54" spans="1:11" s="332" customFormat="1" ht="38.25" customHeight="1" x14ac:dyDescent="0.25">
      <c r="A54" s="335" t="s">
        <v>1085</v>
      </c>
      <c r="B54" s="334" t="s">
        <v>81</v>
      </c>
      <c r="C54" s="334" t="s">
        <v>120</v>
      </c>
      <c r="D54" s="334" t="s">
        <v>1081</v>
      </c>
      <c r="E54" s="334"/>
      <c r="F54" s="345">
        <f>F55</f>
        <v>69.180000000000007</v>
      </c>
      <c r="G54" s="345">
        <f>G55</f>
        <v>69.180000000000007</v>
      </c>
      <c r="H54" s="114">
        <f t="shared" si="0"/>
        <v>100</v>
      </c>
      <c r="I54" s="333"/>
      <c r="J54" s="333"/>
      <c r="K54" s="333"/>
    </row>
    <row r="55" spans="1:11" s="332" customFormat="1" ht="84.6" customHeight="1" x14ac:dyDescent="0.25">
      <c r="A55" s="335" t="s">
        <v>84</v>
      </c>
      <c r="B55" s="334" t="s">
        <v>81</v>
      </c>
      <c r="C55" s="334" t="s">
        <v>120</v>
      </c>
      <c r="D55" s="334" t="s">
        <v>1081</v>
      </c>
      <c r="E55" s="334" t="s">
        <v>85</v>
      </c>
      <c r="F55" s="345">
        <f>F56</f>
        <v>69.180000000000007</v>
      </c>
      <c r="G55" s="345">
        <f>G56</f>
        <v>69.180000000000007</v>
      </c>
      <c r="H55" s="114">
        <f t="shared" si="0"/>
        <v>100</v>
      </c>
      <c r="I55" s="333"/>
      <c r="J55" s="333"/>
      <c r="K55" s="333"/>
    </row>
    <row r="56" spans="1:11" s="332" customFormat="1" ht="38.25" customHeight="1" x14ac:dyDescent="0.25">
      <c r="A56" s="335" t="s">
        <v>86</v>
      </c>
      <c r="B56" s="334" t="s">
        <v>81</v>
      </c>
      <c r="C56" s="334" t="s">
        <v>120</v>
      </c>
      <c r="D56" s="334" t="s">
        <v>1081</v>
      </c>
      <c r="E56" s="334" t="s">
        <v>87</v>
      </c>
      <c r="F56" s="345">
        <f>'Пр.4 Ведом23'!G1416</f>
        <v>69.180000000000007</v>
      </c>
      <c r="G56" s="345">
        <f>'Пр.4 Ведом23'!H1416</f>
        <v>69.180000000000007</v>
      </c>
      <c r="H56" s="114">
        <f t="shared" si="0"/>
        <v>100</v>
      </c>
      <c r="I56" s="333"/>
      <c r="J56" s="333"/>
      <c r="K56" s="333"/>
    </row>
    <row r="57" spans="1:11" ht="63" x14ac:dyDescent="0.25">
      <c r="A57" s="116" t="s">
        <v>102</v>
      </c>
      <c r="B57" s="117" t="s">
        <v>81</v>
      </c>
      <c r="C57" s="117" t="s">
        <v>103</v>
      </c>
      <c r="D57" s="117"/>
      <c r="E57" s="117"/>
      <c r="F57" s="343">
        <f>F58+F105</f>
        <v>94493.491870000042</v>
      </c>
      <c r="G57" s="566">
        <f>G58+G105</f>
        <v>94400.996450000006</v>
      </c>
      <c r="H57" s="113">
        <f t="shared" si="0"/>
        <v>99.902114507391389</v>
      </c>
    </row>
    <row r="58" spans="1:11" ht="31.5" x14ac:dyDescent="0.25">
      <c r="A58" s="116" t="s">
        <v>362</v>
      </c>
      <c r="B58" s="117" t="s">
        <v>81</v>
      </c>
      <c r="C58" s="117" t="s">
        <v>103</v>
      </c>
      <c r="D58" s="117" t="s">
        <v>321</v>
      </c>
      <c r="E58" s="117"/>
      <c r="F58" s="343">
        <f>F59+F86</f>
        <v>93958.319190000038</v>
      </c>
      <c r="G58" s="566">
        <f>G59+G86</f>
        <v>93865.823770000003</v>
      </c>
      <c r="H58" s="113">
        <f t="shared" si="0"/>
        <v>99.901556966112821</v>
      </c>
    </row>
    <row r="59" spans="1:11" ht="15.75" x14ac:dyDescent="0.25">
      <c r="A59" s="116" t="s">
        <v>363</v>
      </c>
      <c r="B59" s="117" t="s">
        <v>81</v>
      </c>
      <c r="C59" s="117" t="s">
        <v>103</v>
      </c>
      <c r="D59" s="117" t="s">
        <v>322</v>
      </c>
      <c r="E59" s="117"/>
      <c r="F59" s="343">
        <f>F60+F69+F74+F80+F77+F83</f>
        <v>89539.197520000031</v>
      </c>
      <c r="G59" s="566">
        <f>G60+G69+G74+G80+G77+G83</f>
        <v>89479.102270000003</v>
      </c>
      <c r="H59" s="113">
        <f t="shared" si="0"/>
        <v>99.932883863531828</v>
      </c>
    </row>
    <row r="60" spans="1:11" ht="31.5" x14ac:dyDescent="0.25">
      <c r="A60" s="335" t="s">
        <v>346</v>
      </c>
      <c r="B60" s="334" t="s">
        <v>81</v>
      </c>
      <c r="C60" s="334" t="s">
        <v>103</v>
      </c>
      <c r="D60" s="334" t="s">
        <v>323</v>
      </c>
      <c r="E60" s="334"/>
      <c r="F60" s="342">
        <f>F61+F63+F65+F67</f>
        <v>75014.631920000014</v>
      </c>
      <c r="G60" s="565">
        <f>G61+G63+G65+G67</f>
        <v>74962.907179999995</v>
      </c>
      <c r="H60" s="114">
        <f t="shared" si="0"/>
        <v>99.931047132171244</v>
      </c>
    </row>
    <row r="61" spans="1:11" ht="78.75" x14ac:dyDescent="0.25">
      <c r="A61" s="335" t="s">
        <v>84</v>
      </c>
      <c r="B61" s="334" t="s">
        <v>81</v>
      </c>
      <c r="C61" s="334" t="s">
        <v>103</v>
      </c>
      <c r="D61" s="334" t="s">
        <v>323</v>
      </c>
      <c r="E61" s="334" t="s">
        <v>85</v>
      </c>
      <c r="F61" s="303">
        <f>F62</f>
        <v>67362.971220000021</v>
      </c>
      <c r="G61" s="303">
        <f>G62</f>
        <v>67313.158120000007</v>
      </c>
      <c r="H61" s="114">
        <f t="shared" si="0"/>
        <v>99.926052697649965</v>
      </c>
    </row>
    <row r="62" spans="1:11" ht="31.5" x14ac:dyDescent="0.25">
      <c r="A62" s="335" t="s">
        <v>86</v>
      </c>
      <c r="B62" s="334" t="s">
        <v>81</v>
      </c>
      <c r="C62" s="334" t="s">
        <v>103</v>
      </c>
      <c r="D62" s="334" t="s">
        <v>323</v>
      </c>
      <c r="E62" s="334" t="s">
        <v>87</v>
      </c>
      <c r="F62" s="303">
        <f>'Пр.4 Ведом23'!G73+'Пр.4 Ведом23'!G665</f>
        <v>67362.971220000021</v>
      </c>
      <c r="G62" s="303">
        <f>'Пр.4 Ведом23'!H73+'Пр.4 Ведом23'!H665</f>
        <v>67313.158120000007</v>
      </c>
      <c r="H62" s="114">
        <f t="shared" si="0"/>
        <v>99.926052697649965</v>
      </c>
    </row>
    <row r="63" spans="1:11" ht="31.5" x14ac:dyDescent="0.25">
      <c r="A63" s="335" t="s">
        <v>88</v>
      </c>
      <c r="B63" s="334" t="s">
        <v>81</v>
      </c>
      <c r="C63" s="334" t="s">
        <v>103</v>
      </c>
      <c r="D63" s="334" t="s">
        <v>323</v>
      </c>
      <c r="E63" s="334" t="s">
        <v>89</v>
      </c>
      <c r="F63" s="342">
        <f>F64</f>
        <v>7401.4277000000002</v>
      </c>
      <c r="G63" s="565">
        <f>G64</f>
        <v>7399.5160599999999</v>
      </c>
      <c r="H63" s="114">
        <f t="shared" si="0"/>
        <v>99.974172010083933</v>
      </c>
    </row>
    <row r="64" spans="1:11" s="264" customFormat="1" ht="31.5" customHeight="1" x14ac:dyDescent="0.25">
      <c r="A64" s="335" t="s">
        <v>90</v>
      </c>
      <c r="B64" s="334" t="s">
        <v>81</v>
      </c>
      <c r="C64" s="334" t="s">
        <v>103</v>
      </c>
      <c r="D64" s="334" t="s">
        <v>323</v>
      </c>
      <c r="E64" s="334" t="s">
        <v>91</v>
      </c>
      <c r="F64" s="342">
        <f>'Пр.4 Ведом23'!G75+'Пр.4 Ведом23'!G667</f>
        <v>7401.4277000000002</v>
      </c>
      <c r="G64" s="565">
        <f>'Пр.4 Ведом23'!H75+'Пр.4 Ведом23'!H667</f>
        <v>7399.5160599999999</v>
      </c>
      <c r="H64" s="114">
        <f t="shared" si="0"/>
        <v>99.974172010083933</v>
      </c>
    </row>
    <row r="65" spans="1:11" s="75" customFormat="1" ht="31.5" hidden="1" customHeight="1" x14ac:dyDescent="0.25">
      <c r="A65" s="335" t="s">
        <v>137</v>
      </c>
      <c r="B65" s="334" t="s">
        <v>81</v>
      </c>
      <c r="C65" s="334" t="s">
        <v>103</v>
      </c>
      <c r="D65" s="334" t="s">
        <v>323</v>
      </c>
      <c r="E65" s="334" t="s">
        <v>138</v>
      </c>
      <c r="F65" s="342">
        <f>F66</f>
        <v>0</v>
      </c>
      <c r="G65" s="565">
        <f>G66</f>
        <v>0</v>
      </c>
      <c r="H65" s="114" t="e">
        <f t="shared" si="0"/>
        <v>#DIV/0!</v>
      </c>
      <c r="I65" s="132"/>
      <c r="J65" s="132"/>
      <c r="K65" s="132"/>
    </row>
    <row r="66" spans="1:11" s="75" customFormat="1" ht="31.5" hidden="1" customHeight="1" x14ac:dyDescent="0.25">
      <c r="A66" s="335" t="s">
        <v>139</v>
      </c>
      <c r="B66" s="334" t="s">
        <v>81</v>
      </c>
      <c r="C66" s="334" t="s">
        <v>103</v>
      </c>
      <c r="D66" s="334" t="s">
        <v>323</v>
      </c>
      <c r="E66" s="334" t="s">
        <v>140</v>
      </c>
      <c r="F66" s="342">
        <f>'Пр.4 Ведом23'!G77</f>
        <v>0</v>
      </c>
      <c r="G66" s="565">
        <f>'Пр.4 Ведом23'!H77</f>
        <v>0</v>
      </c>
      <c r="H66" s="114" t="e">
        <f t="shared" si="0"/>
        <v>#DIV/0!</v>
      </c>
      <c r="I66" s="132"/>
      <c r="J66" s="132"/>
      <c r="K66" s="132"/>
    </row>
    <row r="67" spans="1:11" ht="15.75" x14ac:dyDescent="0.25">
      <c r="A67" s="335" t="s">
        <v>92</v>
      </c>
      <c r="B67" s="334" t="s">
        <v>81</v>
      </c>
      <c r="C67" s="334" t="s">
        <v>103</v>
      </c>
      <c r="D67" s="334" t="s">
        <v>323</v>
      </c>
      <c r="E67" s="334" t="s">
        <v>98</v>
      </c>
      <c r="F67" s="342">
        <f>F68</f>
        <v>250.233</v>
      </c>
      <c r="G67" s="565">
        <f>G68</f>
        <v>250.233</v>
      </c>
      <c r="H67" s="114">
        <f t="shared" si="0"/>
        <v>100</v>
      </c>
    </row>
    <row r="68" spans="1:11" ht="15.75" x14ac:dyDescent="0.25">
      <c r="A68" s="335" t="s">
        <v>223</v>
      </c>
      <c r="B68" s="334" t="s">
        <v>81</v>
      </c>
      <c r="C68" s="334" t="s">
        <v>103</v>
      </c>
      <c r="D68" s="334" t="s">
        <v>323</v>
      </c>
      <c r="E68" s="334" t="s">
        <v>94</v>
      </c>
      <c r="F68" s="342">
        <f>'Пр.4 Ведом23'!G79+'Пр.4 Ведом23'!G669</f>
        <v>250.233</v>
      </c>
      <c r="G68" s="565">
        <f>'Пр.4 Ведом23'!H79+'Пр.4 Ведом23'!H669</f>
        <v>250.233</v>
      </c>
      <c r="H68" s="114">
        <f t="shared" si="0"/>
        <v>100</v>
      </c>
    </row>
    <row r="69" spans="1:11" ht="31.5" x14ac:dyDescent="0.25">
      <c r="A69" s="335" t="s">
        <v>305</v>
      </c>
      <c r="B69" s="334" t="s">
        <v>81</v>
      </c>
      <c r="C69" s="334" t="s">
        <v>103</v>
      </c>
      <c r="D69" s="334" t="s">
        <v>324</v>
      </c>
      <c r="E69" s="334"/>
      <c r="F69" s="303">
        <f>F70+F73</f>
        <v>11013.48041</v>
      </c>
      <c r="G69" s="303">
        <f>G70+G73</f>
        <v>11013.48041</v>
      </c>
      <c r="H69" s="114">
        <f t="shared" si="0"/>
        <v>100</v>
      </c>
    </row>
    <row r="70" spans="1:11" ht="78.75" x14ac:dyDescent="0.25">
      <c r="A70" s="335" t="s">
        <v>84</v>
      </c>
      <c r="B70" s="334" t="s">
        <v>81</v>
      </c>
      <c r="C70" s="334" t="s">
        <v>103</v>
      </c>
      <c r="D70" s="334" t="s">
        <v>324</v>
      </c>
      <c r="E70" s="334" t="s">
        <v>85</v>
      </c>
      <c r="F70" s="303">
        <f>F71</f>
        <v>9511.6096899999993</v>
      </c>
      <c r="G70" s="303">
        <f>G71</f>
        <v>9511.6096899999993</v>
      </c>
      <c r="H70" s="114">
        <f t="shared" si="0"/>
        <v>100</v>
      </c>
    </row>
    <row r="71" spans="1:11" ht="31.5" x14ac:dyDescent="0.25">
      <c r="A71" s="335" t="s">
        <v>86</v>
      </c>
      <c r="B71" s="334" t="s">
        <v>81</v>
      </c>
      <c r="C71" s="334" t="s">
        <v>103</v>
      </c>
      <c r="D71" s="334" t="s">
        <v>324</v>
      </c>
      <c r="E71" s="334" t="s">
        <v>87</v>
      </c>
      <c r="F71" s="303">
        <f>'Пр.4 Ведом23'!G82</f>
        <v>9511.6096899999993</v>
      </c>
      <c r="G71" s="303">
        <f>'Пр.4 Ведом23'!H82</f>
        <v>9511.6096899999993</v>
      </c>
      <c r="H71" s="114">
        <f t="shared" si="0"/>
        <v>100</v>
      </c>
    </row>
    <row r="72" spans="1:11" s="75" customFormat="1" ht="31.5" x14ac:dyDescent="0.25">
      <c r="A72" s="335" t="s">
        <v>88</v>
      </c>
      <c r="B72" s="334" t="s">
        <v>81</v>
      </c>
      <c r="C72" s="334" t="s">
        <v>103</v>
      </c>
      <c r="D72" s="334" t="s">
        <v>324</v>
      </c>
      <c r="E72" s="334" t="s">
        <v>89</v>
      </c>
      <c r="F72" s="345">
        <f>F73</f>
        <v>1501.8707200000001</v>
      </c>
      <c r="G72" s="345">
        <f>G73</f>
        <v>1501.8707199999999</v>
      </c>
      <c r="H72" s="114">
        <f t="shared" si="0"/>
        <v>99.999999999999986</v>
      </c>
      <c r="I72" s="132"/>
      <c r="J72" s="132"/>
      <c r="K72" s="132"/>
    </row>
    <row r="73" spans="1:11" s="75" customFormat="1" ht="31.5" customHeight="1" x14ac:dyDescent="0.25">
      <c r="A73" s="335" t="s">
        <v>90</v>
      </c>
      <c r="B73" s="334" t="s">
        <v>81</v>
      </c>
      <c r="C73" s="334" t="s">
        <v>103</v>
      </c>
      <c r="D73" s="334" t="s">
        <v>324</v>
      </c>
      <c r="E73" s="334" t="s">
        <v>91</v>
      </c>
      <c r="F73" s="345">
        <f>'Пр.4 Ведом23'!G84</f>
        <v>1501.8707200000001</v>
      </c>
      <c r="G73" s="345">
        <f>'Пр.4 Ведом23'!H84</f>
        <v>1501.8707199999999</v>
      </c>
      <c r="H73" s="114">
        <f t="shared" si="0"/>
        <v>99.999999999999986</v>
      </c>
      <c r="I73" s="132"/>
      <c r="J73" s="132"/>
      <c r="K73" s="132"/>
    </row>
    <row r="74" spans="1:11" s="75" customFormat="1" ht="47.25" x14ac:dyDescent="0.25">
      <c r="A74" s="335" t="s">
        <v>304</v>
      </c>
      <c r="B74" s="334" t="s">
        <v>81</v>
      </c>
      <c r="C74" s="334" t="s">
        <v>103</v>
      </c>
      <c r="D74" s="334" t="s">
        <v>325</v>
      </c>
      <c r="E74" s="334"/>
      <c r="F74" s="345">
        <f>F75</f>
        <v>1941.7134800000001</v>
      </c>
      <c r="G74" s="345">
        <f>G75</f>
        <v>1941.7134799999999</v>
      </c>
      <c r="H74" s="114">
        <f t="shared" si="0"/>
        <v>99.999999999999986</v>
      </c>
      <c r="I74" s="132"/>
      <c r="J74" s="132"/>
      <c r="K74" s="132"/>
    </row>
    <row r="75" spans="1:11" s="75" customFormat="1" ht="78.75" x14ac:dyDescent="0.25">
      <c r="A75" s="335" t="s">
        <v>84</v>
      </c>
      <c r="B75" s="334" t="s">
        <v>81</v>
      </c>
      <c r="C75" s="334" t="s">
        <v>103</v>
      </c>
      <c r="D75" s="334" t="s">
        <v>325</v>
      </c>
      <c r="E75" s="334" t="s">
        <v>85</v>
      </c>
      <c r="F75" s="342">
        <f>F76</f>
        <v>1941.7134800000001</v>
      </c>
      <c r="G75" s="565">
        <f>G76</f>
        <v>1941.7134799999999</v>
      </c>
      <c r="H75" s="114">
        <f t="shared" ref="H75:H138" si="2">G75/F75*100</f>
        <v>99.999999999999986</v>
      </c>
      <c r="I75" s="132"/>
      <c r="J75" s="132"/>
      <c r="K75" s="132"/>
    </row>
    <row r="76" spans="1:11" s="75" customFormat="1" ht="31.5" x14ac:dyDescent="0.25">
      <c r="A76" s="335" t="s">
        <v>86</v>
      </c>
      <c r="B76" s="334" t="s">
        <v>81</v>
      </c>
      <c r="C76" s="334" t="s">
        <v>103</v>
      </c>
      <c r="D76" s="334" t="s">
        <v>325</v>
      </c>
      <c r="E76" s="334" t="s">
        <v>87</v>
      </c>
      <c r="F76" s="344">
        <f>'Пр.4 Ведом23'!G87+'Пр.4 Ведом23'!G672</f>
        <v>1941.7134800000001</v>
      </c>
      <c r="G76" s="344">
        <f>'Пр.4 Ведом23'!H87+'Пр.4 Ведом23'!H672</f>
        <v>1941.7134799999999</v>
      </c>
      <c r="H76" s="114">
        <f t="shared" si="2"/>
        <v>99.999999999999986</v>
      </c>
      <c r="I76" s="132"/>
      <c r="J76" s="132"/>
      <c r="K76" s="132"/>
    </row>
    <row r="77" spans="1:11" s="332" customFormat="1" ht="31.5" x14ac:dyDescent="0.25">
      <c r="A77" s="335" t="s">
        <v>1085</v>
      </c>
      <c r="B77" s="334" t="s">
        <v>81</v>
      </c>
      <c r="C77" s="334" t="s">
        <v>103</v>
      </c>
      <c r="D77" s="334" t="s">
        <v>1081</v>
      </c>
      <c r="E77" s="334"/>
      <c r="F77" s="344">
        <f>F78</f>
        <v>575.97</v>
      </c>
      <c r="G77" s="344">
        <f>G78</f>
        <v>575.97</v>
      </c>
      <c r="H77" s="114">
        <f t="shared" si="2"/>
        <v>100</v>
      </c>
      <c r="I77" s="333"/>
      <c r="J77" s="333"/>
      <c r="K77" s="333"/>
    </row>
    <row r="78" spans="1:11" s="332" customFormat="1" ht="78.75" x14ac:dyDescent="0.25">
      <c r="A78" s="335" t="s">
        <v>84</v>
      </c>
      <c r="B78" s="334" t="s">
        <v>81</v>
      </c>
      <c r="C78" s="334" t="s">
        <v>103</v>
      </c>
      <c r="D78" s="334" t="s">
        <v>1081</v>
      </c>
      <c r="E78" s="334" t="s">
        <v>85</v>
      </c>
      <c r="F78" s="344">
        <f>F79</f>
        <v>575.97</v>
      </c>
      <c r="G78" s="344">
        <f>G79</f>
        <v>575.97</v>
      </c>
      <c r="H78" s="114">
        <f t="shared" si="2"/>
        <v>100</v>
      </c>
      <c r="I78" s="333"/>
      <c r="J78" s="333"/>
      <c r="K78" s="333"/>
    </row>
    <row r="79" spans="1:11" s="332" customFormat="1" ht="31.5" x14ac:dyDescent="0.25">
      <c r="A79" s="335" t="s">
        <v>86</v>
      </c>
      <c r="B79" s="334" t="s">
        <v>81</v>
      </c>
      <c r="C79" s="334" t="s">
        <v>103</v>
      </c>
      <c r="D79" s="334" t="s">
        <v>1081</v>
      </c>
      <c r="E79" s="334" t="s">
        <v>87</v>
      </c>
      <c r="F79" s="344">
        <f>'Пр.4 Ведом23'!G90+'Пр.4 Ведом23'!G675</f>
        <v>575.97</v>
      </c>
      <c r="G79" s="344">
        <f>'Пр.4 Ведом23'!H90+'Пр.4 Ведом23'!H675</f>
        <v>575.97</v>
      </c>
      <c r="H79" s="114">
        <f t="shared" si="2"/>
        <v>100</v>
      </c>
      <c r="I79" s="333"/>
      <c r="J79" s="333"/>
      <c r="K79" s="333"/>
    </row>
    <row r="80" spans="1:11" s="131" customFormat="1" ht="47.25" x14ac:dyDescent="0.25">
      <c r="A80" s="312" t="s">
        <v>1075</v>
      </c>
      <c r="B80" s="334" t="s">
        <v>81</v>
      </c>
      <c r="C80" s="334" t="s">
        <v>103</v>
      </c>
      <c r="D80" s="334" t="s">
        <v>1076</v>
      </c>
      <c r="E80" s="334"/>
      <c r="F80" s="344">
        <f>F81</f>
        <v>691.3</v>
      </c>
      <c r="G80" s="344">
        <f>G81</f>
        <v>682.92948999999999</v>
      </c>
      <c r="H80" s="114">
        <f t="shared" si="2"/>
        <v>98.789163894112548</v>
      </c>
      <c r="I80" s="214"/>
      <c r="J80" s="214"/>
      <c r="K80" s="214"/>
    </row>
    <row r="81" spans="1:11" s="131" customFormat="1" ht="78.75" x14ac:dyDescent="0.25">
      <c r="A81" s="335" t="s">
        <v>84</v>
      </c>
      <c r="B81" s="334" t="s">
        <v>81</v>
      </c>
      <c r="C81" s="334" t="s">
        <v>103</v>
      </c>
      <c r="D81" s="334" t="s">
        <v>1076</v>
      </c>
      <c r="E81" s="334" t="s">
        <v>85</v>
      </c>
      <c r="F81" s="344">
        <f>F82</f>
        <v>691.3</v>
      </c>
      <c r="G81" s="344">
        <f>G82</f>
        <v>682.92948999999999</v>
      </c>
      <c r="H81" s="114">
        <f t="shared" si="2"/>
        <v>98.789163894112548</v>
      </c>
      <c r="I81" s="214"/>
      <c r="J81" s="214"/>
      <c r="K81" s="214"/>
    </row>
    <row r="82" spans="1:11" s="131" customFormat="1" ht="31.5" x14ac:dyDescent="0.25">
      <c r="A82" s="335" t="s">
        <v>86</v>
      </c>
      <c r="B82" s="334" t="s">
        <v>81</v>
      </c>
      <c r="C82" s="334" t="s">
        <v>103</v>
      </c>
      <c r="D82" s="334" t="s">
        <v>1076</v>
      </c>
      <c r="E82" s="334" t="s">
        <v>87</v>
      </c>
      <c r="F82" s="344">
        <f>'Пр.4 Ведом23'!G93</f>
        <v>691.3</v>
      </c>
      <c r="G82" s="344">
        <f>'Пр.4 Ведом23'!H93</f>
        <v>682.92948999999999</v>
      </c>
      <c r="H82" s="114">
        <f t="shared" si="2"/>
        <v>98.789163894112548</v>
      </c>
      <c r="I82" s="214"/>
      <c r="J82" s="214"/>
      <c r="K82" s="214"/>
    </row>
    <row r="83" spans="1:11" s="332" customFormat="1" ht="47.25" x14ac:dyDescent="0.25">
      <c r="A83" s="335" t="s">
        <v>1107</v>
      </c>
      <c r="B83" s="334" t="s">
        <v>81</v>
      </c>
      <c r="C83" s="334" t="s">
        <v>103</v>
      </c>
      <c r="D83" s="334" t="s">
        <v>1106</v>
      </c>
      <c r="E83" s="334"/>
      <c r="F83" s="344">
        <f>F84</f>
        <v>302.10171000000003</v>
      </c>
      <c r="G83" s="344">
        <f>G84</f>
        <v>302.10171000000003</v>
      </c>
      <c r="H83" s="114">
        <f t="shared" si="2"/>
        <v>100</v>
      </c>
      <c r="I83" s="333"/>
      <c r="J83" s="333"/>
      <c r="K83" s="333"/>
    </row>
    <row r="84" spans="1:11" s="332" customFormat="1" ht="78.75" x14ac:dyDescent="0.25">
      <c r="A84" s="335" t="s">
        <v>84</v>
      </c>
      <c r="B84" s="334" t="s">
        <v>81</v>
      </c>
      <c r="C84" s="334" t="s">
        <v>103</v>
      </c>
      <c r="D84" s="334" t="s">
        <v>1106</v>
      </c>
      <c r="E84" s="334" t="s">
        <v>85</v>
      </c>
      <c r="F84" s="344">
        <f>F85</f>
        <v>302.10171000000003</v>
      </c>
      <c r="G84" s="344">
        <f>G85</f>
        <v>302.10171000000003</v>
      </c>
      <c r="H84" s="114">
        <f t="shared" si="2"/>
        <v>100</v>
      </c>
      <c r="I84" s="333"/>
      <c r="J84" s="333"/>
      <c r="K84" s="333"/>
    </row>
    <row r="85" spans="1:11" s="332" customFormat="1" ht="31.5" x14ac:dyDescent="0.25">
      <c r="A85" s="335" t="s">
        <v>86</v>
      </c>
      <c r="B85" s="334" t="s">
        <v>81</v>
      </c>
      <c r="C85" s="334" t="s">
        <v>103</v>
      </c>
      <c r="D85" s="334" t="s">
        <v>1106</v>
      </c>
      <c r="E85" s="334" t="s">
        <v>87</v>
      </c>
      <c r="F85" s="344">
        <f>'Пр.4 Ведом23'!G96+'Пр.4 Ведом23'!G678</f>
        <v>302.10171000000003</v>
      </c>
      <c r="G85" s="344">
        <f>'Пр.4 Ведом23'!H96+'Пр.4 Ведом23'!H678</f>
        <v>302.10171000000003</v>
      </c>
      <c r="H85" s="114">
        <f t="shared" si="2"/>
        <v>100</v>
      </c>
      <c r="I85" s="333"/>
      <c r="J85" s="333"/>
      <c r="K85" s="333"/>
    </row>
    <row r="86" spans="1:11" s="75" customFormat="1" ht="31.5" x14ac:dyDescent="0.25">
      <c r="A86" s="116" t="s">
        <v>338</v>
      </c>
      <c r="B86" s="117" t="s">
        <v>81</v>
      </c>
      <c r="C86" s="117" t="s">
        <v>103</v>
      </c>
      <c r="D86" s="117" t="s">
        <v>326</v>
      </c>
      <c r="E86" s="117"/>
      <c r="F86" s="302">
        <f>F87+F90+F95+F100</f>
        <v>4419.1216700000004</v>
      </c>
      <c r="G86" s="567">
        <f>G87+G90+G95+G100</f>
        <v>4386.7214999999997</v>
      </c>
      <c r="H86" s="113">
        <f t="shared" si="2"/>
        <v>99.266818783923611</v>
      </c>
      <c r="I86" s="132"/>
      <c r="J86" s="132"/>
      <c r="K86" s="132"/>
    </row>
    <row r="87" spans="1:11" s="75" customFormat="1" ht="47.25" hidden="1" customHeight="1" x14ac:dyDescent="0.25">
      <c r="A87" s="335" t="s">
        <v>273</v>
      </c>
      <c r="B87" s="334" t="s">
        <v>81</v>
      </c>
      <c r="C87" s="334" t="s">
        <v>103</v>
      </c>
      <c r="D87" s="334" t="s">
        <v>364</v>
      </c>
      <c r="E87" s="117"/>
      <c r="F87" s="344">
        <f>F88</f>
        <v>0</v>
      </c>
      <c r="G87" s="344">
        <f>G88</f>
        <v>0</v>
      </c>
      <c r="H87" s="114" t="e">
        <f t="shared" si="2"/>
        <v>#DIV/0!</v>
      </c>
      <c r="I87" s="132"/>
      <c r="J87" s="132"/>
      <c r="K87" s="132"/>
    </row>
    <row r="88" spans="1:11" s="75" customFormat="1" ht="31.5" hidden="1" customHeight="1" x14ac:dyDescent="0.25">
      <c r="A88" s="335" t="s">
        <v>88</v>
      </c>
      <c r="B88" s="334" t="s">
        <v>81</v>
      </c>
      <c r="C88" s="334" t="s">
        <v>103</v>
      </c>
      <c r="D88" s="334" t="s">
        <v>364</v>
      </c>
      <c r="E88" s="334" t="s">
        <v>89</v>
      </c>
      <c r="F88" s="337">
        <f>F89</f>
        <v>0</v>
      </c>
      <c r="G88" s="337">
        <f>G89</f>
        <v>0</v>
      </c>
      <c r="H88" s="114" t="e">
        <f t="shared" si="2"/>
        <v>#DIV/0!</v>
      </c>
      <c r="I88" s="132"/>
      <c r="J88" s="132"/>
      <c r="K88" s="132"/>
    </row>
    <row r="89" spans="1:11" s="75" customFormat="1" ht="31.5" hidden="1" customHeight="1" x14ac:dyDescent="0.25">
      <c r="A89" s="335" t="s">
        <v>90</v>
      </c>
      <c r="B89" s="334" t="s">
        <v>81</v>
      </c>
      <c r="C89" s="334" t="s">
        <v>103</v>
      </c>
      <c r="D89" s="334" t="s">
        <v>364</v>
      </c>
      <c r="E89" s="334" t="s">
        <v>91</v>
      </c>
      <c r="F89" s="337">
        <f>'Пр.4 Ведом23'!G100</f>
        <v>0</v>
      </c>
      <c r="G89" s="337">
        <f>'Пр.4 Ведом23'!H100</f>
        <v>0</v>
      </c>
      <c r="H89" s="114" t="e">
        <f t="shared" si="2"/>
        <v>#DIV/0!</v>
      </c>
      <c r="I89" s="132"/>
      <c r="J89" s="132"/>
      <c r="K89" s="132"/>
    </row>
    <row r="90" spans="1:11" s="75" customFormat="1" ht="47.25" x14ac:dyDescent="0.25">
      <c r="A90" s="20" t="s">
        <v>111</v>
      </c>
      <c r="B90" s="334" t="s">
        <v>81</v>
      </c>
      <c r="C90" s="334" t="s">
        <v>103</v>
      </c>
      <c r="D90" s="334" t="s">
        <v>365</v>
      </c>
      <c r="E90" s="334"/>
      <c r="F90" s="337">
        <f>F91+F93</f>
        <v>565.9</v>
      </c>
      <c r="G90" s="337">
        <f>G91+G93</f>
        <v>565.9</v>
      </c>
      <c r="H90" s="114">
        <f t="shared" si="2"/>
        <v>100</v>
      </c>
      <c r="I90" s="132"/>
      <c r="J90" s="132"/>
      <c r="K90" s="132"/>
    </row>
    <row r="91" spans="1:11" s="75" customFormat="1" ht="78.75" x14ac:dyDescent="0.25">
      <c r="A91" s="335" t="s">
        <v>84</v>
      </c>
      <c r="B91" s="334" t="s">
        <v>81</v>
      </c>
      <c r="C91" s="334" t="s">
        <v>103</v>
      </c>
      <c r="D91" s="334" t="s">
        <v>365</v>
      </c>
      <c r="E91" s="334" t="s">
        <v>85</v>
      </c>
      <c r="F91" s="342">
        <f>F92</f>
        <v>565.9</v>
      </c>
      <c r="G91" s="565">
        <f>G92</f>
        <v>565.9</v>
      </c>
      <c r="H91" s="114">
        <f t="shared" si="2"/>
        <v>100</v>
      </c>
      <c r="I91" s="132"/>
      <c r="J91" s="132"/>
      <c r="K91" s="132"/>
    </row>
    <row r="92" spans="1:11" s="75" customFormat="1" ht="31.5" x14ac:dyDescent="0.25">
      <c r="A92" s="335" t="s">
        <v>86</v>
      </c>
      <c r="B92" s="334" t="s">
        <v>81</v>
      </c>
      <c r="C92" s="334" t="s">
        <v>103</v>
      </c>
      <c r="D92" s="334" t="s">
        <v>365</v>
      </c>
      <c r="E92" s="334" t="s">
        <v>87</v>
      </c>
      <c r="F92" s="342">
        <f>'Пр.4 Ведом23'!G103</f>
        <v>565.9</v>
      </c>
      <c r="G92" s="565">
        <f>'Пр.4 Ведом23'!H103</f>
        <v>565.9</v>
      </c>
      <c r="H92" s="114">
        <f t="shared" si="2"/>
        <v>100</v>
      </c>
      <c r="I92" s="132"/>
      <c r="J92" s="132"/>
      <c r="K92" s="132"/>
    </row>
    <row r="93" spans="1:11" s="75" customFormat="1" ht="31.5" hidden="1" customHeight="1" x14ac:dyDescent="0.25">
      <c r="A93" s="335" t="s">
        <v>88</v>
      </c>
      <c r="B93" s="334" t="s">
        <v>81</v>
      </c>
      <c r="C93" s="334" t="s">
        <v>103</v>
      </c>
      <c r="D93" s="334" t="s">
        <v>365</v>
      </c>
      <c r="E93" s="334" t="s">
        <v>89</v>
      </c>
      <c r="F93" s="342">
        <f>F94</f>
        <v>0</v>
      </c>
      <c r="G93" s="565">
        <f>G94</f>
        <v>0</v>
      </c>
      <c r="H93" s="114" t="e">
        <f t="shared" si="2"/>
        <v>#DIV/0!</v>
      </c>
      <c r="I93" s="132"/>
      <c r="J93" s="132"/>
      <c r="K93" s="132"/>
    </row>
    <row r="94" spans="1:11" s="75" customFormat="1" ht="31.5" hidden="1" customHeight="1" x14ac:dyDescent="0.25">
      <c r="A94" s="335" t="s">
        <v>90</v>
      </c>
      <c r="B94" s="334" t="s">
        <v>81</v>
      </c>
      <c r="C94" s="334" t="s">
        <v>103</v>
      </c>
      <c r="D94" s="334" t="s">
        <v>365</v>
      </c>
      <c r="E94" s="334" t="s">
        <v>91</v>
      </c>
      <c r="F94" s="342">
        <f>'Пр.4 Ведом23'!G105</f>
        <v>0</v>
      </c>
      <c r="G94" s="565">
        <f>'Пр.4 Ведом23'!H105</f>
        <v>0</v>
      </c>
      <c r="H94" s="114" t="e">
        <f t="shared" si="2"/>
        <v>#DIV/0!</v>
      </c>
      <c r="I94" s="132"/>
      <c r="J94" s="132"/>
      <c r="K94" s="132"/>
    </row>
    <row r="95" spans="1:11" s="75" customFormat="1" ht="47.25" x14ac:dyDescent="0.25">
      <c r="A95" s="20" t="s">
        <v>113</v>
      </c>
      <c r="B95" s="334" t="s">
        <v>81</v>
      </c>
      <c r="C95" s="334" t="s">
        <v>103</v>
      </c>
      <c r="D95" s="334" t="s">
        <v>366</v>
      </c>
      <c r="E95" s="334"/>
      <c r="F95" s="342">
        <f>F96+F98</f>
        <v>1630.2</v>
      </c>
      <c r="G95" s="565">
        <f>G96+G98</f>
        <v>1630.2</v>
      </c>
      <c r="H95" s="114">
        <f t="shared" si="2"/>
        <v>100</v>
      </c>
      <c r="I95" s="132"/>
      <c r="J95" s="132"/>
      <c r="K95" s="132"/>
    </row>
    <row r="96" spans="1:11" ht="78.75" x14ac:dyDescent="0.25">
      <c r="A96" s="335" t="s">
        <v>84</v>
      </c>
      <c r="B96" s="334" t="s">
        <v>81</v>
      </c>
      <c r="C96" s="334" t="s">
        <v>103</v>
      </c>
      <c r="D96" s="334" t="s">
        <v>366</v>
      </c>
      <c r="E96" s="334" t="s">
        <v>85</v>
      </c>
      <c r="F96" s="342">
        <f>F97</f>
        <v>1489.4</v>
      </c>
      <c r="G96" s="565">
        <f>G97</f>
        <v>1489.4</v>
      </c>
      <c r="H96" s="114">
        <f t="shared" si="2"/>
        <v>100</v>
      </c>
    </row>
    <row r="97" spans="1:11" ht="31.5" x14ac:dyDescent="0.25">
      <c r="A97" s="335" t="s">
        <v>86</v>
      </c>
      <c r="B97" s="334" t="s">
        <v>81</v>
      </c>
      <c r="C97" s="334" t="s">
        <v>103</v>
      </c>
      <c r="D97" s="334" t="s">
        <v>366</v>
      </c>
      <c r="E97" s="334" t="s">
        <v>87</v>
      </c>
      <c r="F97" s="342">
        <f>'Пр.4 Ведом23'!G108</f>
        <v>1489.4</v>
      </c>
      <c r="G97" s="565">
        <f>'Пр.4 Ведом23'!H108</f>
        <v>1489.4</v>
      </c>
      <c r="H97" s="114">
        <f t="shared" si="2"/>
        <v>100</v>
      </c>
    </row>
    <row r="98" spans="1:11" ht="31.5" x14ac:dyDescent="0.25">
      <c r="A98" s="335" t="s">
        <v>114</v>
      </c>
      <c r="B98" s="334" t="s">
        <v>81</v>
      </c>
      <c r="C98" s="334" t="s">
        <v>103</v>
      </c>
      <c r="D98" s="334" t="s">
        <v>366</v>
      </c>
      <c r="E98" s="334" t="s">
        <v>89</v>
      </c>
      <c r="F98" s="342">
        <f>F99</f>
        <v>140.80000000000001</v>
      </c>
      <c r="G98" s="565">
        <f>G99</f>
        <v>140.80000000000001</v>
      </c>
      <c r="H98" s="114">
        <f t="shared" si="2"/>
        <v>100</v>
      </c>
    </row>
    <row r="99" spans="1:11" ht="31.5" customHeight="1" x14ac:dyDescent="0.25">
      <c r="A99" s="335" t="s">
        <v>90</v>
      </c>
      <c r="B99" s="334" t="s">
        <v>81</v>
      </c>
      <c r="C99" s="334" t="s">
        <v>103</v>
      </c>
      <c r="D99" s="334" t="s">
        <v>366</v>
      </c>
      <c r="E99" s="334" t="s">
        <v>91</v>
      </c>
      <c r="F99" s="342">
        <f>'Пр.4 Ведом23'!G110</f>
        <v>140.80000000000001</v>
      </c>
      <c r="G99" s="565">
        <f>'Пр.4 Ведом23'!H110</f>
        <v>140.80000000000001</v>
      </c>
      <c r="H99" s="114">
        <f t="shared" si="2"/>
        <v>100</v>
      </c>
    </row>
    <row r="100" spans="1:11" ht="47.25" x14ac:dyDescent="0.25">
      <c r="A100" s="335" t="s">
        <v>852</v>
      </c>
      <c r="B100" s="334" t="s">
        <v>81</v>
      </c>
      <c r="C100" s="334" t="s">
        <v>103</v>
      </c>
      <c r="D100" s="334" t="s">
        <v>767</v>
      </c>
      <c r="E100" s="334"/>
      <c r="F100" s="342">
        <f>F101+F103</f>
        <v>2223.0216700000001</v>
      </c>
      <c r="G100" s="565">
        <f>G101+G103</f>
        <v>2190.6214999999997</v>
      </c>
      <c r="H100" s="114">
        <f t="shared" si="2"/>
        <v>98.542516681809929</v>
      </c>
    </row>
    <row r="101" spans="1:11" s="75" customFormat="1" ht="78.75" x14ac:dyDescent="0.25">
      <c r="A101" s="335" t="s">
        <v>84</v>
      </c>
      <c r="B101" s="334" t="s">
        <v>81</v>
      </c>
      <c r="C101" s="334" t="s">
        <v>103</v>
      </c>
      <c r="D101" s="334" t="s">
        <v>767</v>
      </c>
      <c r="E101" s="334" t="s">
        <v>85</v>
      </c>
      <c r="F101" s="337">
        <f>F102</f>
        <v>2096.5216700000001</v>
      </c>
      <c r="G101" s="337">
        <f>G102</f>
        <v>2064.12727</v>
      </c>
      <c r="H101" s="114">
        <f t="shared" si="2"/>
        <v>98.454850218648104</v>
      </c>
      <c r="I101" s="132"/>
      <c r="J101" s="132"/>
      <c r="K101" s="132"/>
    </row>
    <row r="102" spans="1:11" s="75" customFormat="1" ht="31.5" x14ac:dyDescent="0.25">
      <c r="A102" s="335" t="s">
        <v>86</v>
      </c>
      <c r="B102" s="334" t="s">
        <v>81</v>
      </c>
      <c r="C102" s="334" t="s">
        <v>103</v>
      </c>
      <c r="D102" s="334" t="s">
        <v>767</v>
      </c>
      <c r="E102" s="334" t="s">
        <v>87</v>
      </c>
      <c r="F102" s="337">
        <f>'Пр.4 Ведом23'!G113</f>
        <v>2096.5216700000001</v>
      </c>
      <c r="G102" s="337">
        <f>'Пр.4 Ведом23'!H113</f>
        <v>2064.12727</v>
      </c>
      <c r="H102" s="114">
        <f t="shared" si="2"/>
        <v>98.454850218648104</v>
      </c>
      <c r="I102" s="132"/>
      <c r="J102" s="132"/>
      <c r="K102" s="132"/>
    </row>
    <row r="103" spans="1:11" s="75" customFormat="1" ht="31.5" x14ac:dyDescent="0.25">
      <c r="A103" s="335" t="s">
        <v>88</v>
      </c>
      <c r="B103" s="334" t="s">
        <v>81</v>
      </c>
      <c r="C103" s="334" t="s">
        <v>103</v>
      </c>
      <c r="D103" s="334" t="s">
        <v>767</v>
      </c>
      <c r="E103" s="334" t="s">
        <v>89</v>
      </c>
      <c r="F103" s="337">
        <f>F104</f>
        <v>126.5</v>
      </c>
      <c r="G103" s="337">
        <f>G104</f>
        <v>126.49423</v>
      </c>
      <c r="H103" s="114">
        <f t="shared" si="2"/>
        <v>99.995438735177871</v>
      </c>
      <c r="I103" s="132"/>
      <c r="J103" s="132"/>
      <c r="K103" s="132"/>
    </row>
    <row r="104" spans="1:11" s="131" customFormat="1" ht="31.5" customHeight="1" x14ac:dyDescent="0.25">
      <c r="A104" s="335" t="s">
        <v>90</v>
      </c>
      <c r="B104" s="334" t="s">
        <v>81</v>
      </c>
      <c r="C104" s="334" t="s">
        <v>103</v>
      </c>
      <c r="D104" s="334" t="s">
        <v>767</v>
      </c>
      <c r="E104" s="334" t="s">
        <v>91</v>
      </c>
      <c r="F104" s="337">
        <f>'Пр.4 Ведом23'!G115</f>
        <v>126.5</v>
      </c>
      <c r="G104" s="337">
        <f>'Пр.4 Ведом23'!H115</f>
        <v>126.49423</v>
      </c>
      <c r="H104" s="114">
        <f t="shared" si="2"/>
        <v>99.995438735177871</v>
      </c>
      <c r="I104" s="132"/>
      <c r="J104" s="132"/>
      <c r="K104" s="132"/>
    </row>
    <row r="105" spans="1:11" s="131" customFormat="1" ht="47.25" x14ac:dyDescent="0.25">
      <c r="A105" s="116" t="s">
        <v>849</v>
      </c>
      <c r="B105" s="117" t="s">
        <v>81</v>
      </c>
      <c r="C105" s="117" t="s">
        <v>103</v>
      </c>
      <c r="D105" s="117" t="s">
        <v>106</v>
      </c>
      <c r="E105" s="117"/>
      <c r="F105" s="338">
        <f>F106+F110+F119</f>
        <v>535.17268000000001</v>
      </c>
      <c r="G105" s="338">
        <f>G106+G110+G119</f>
        <v>535.17268000000001</v>
      </c>
      <c r="H105" s="113">
        <f t="shared" si="2"/>
        <v>100</v>
      </c>
      <c r="I105" s="132"/>
      <c r="J105" s="132"/>
      <c r="K105" s="132"/>
    </row>
    <row r="106" spans="1:11" s="131" customFormat="1" ht="63" x14ac:dyDescent="0.25">
      <c r="A106" s="30" t="s">
        <v>887</v>
      </c>
      <c r="B106" s="117" t="s">
        <v>81</v>
      </c>
      <c r="C106" s="117" t="s">
        <v>103</v>
      </c>
      <c r="D106" s="6" t="s">
        <v>312</v>
      </c>
      <c r="E106" s="117"/>
      <c r="F106" s="343">
        <f t="shared" ref="F106:G108" si="3">F107</f>
        <v>506.87268</v>
      </c>
      <c r="G106" s="566">
        <f t="shared" si="3"/>
        <v>506.87268</v>
      </c>
      <c r="H106" s="113">
        <f t="shared" si="2"/>
        <v>100</v>
      </c>
      <c r="I106" s="132"/>
      <c r="J106" s="132"/>
      <c r="K106" s="132"/>
    </row>
    <row r="107" spans="1:11" s="131" customFormat="1" ht="47.25" x14ac:dyDescent="0.25">
      <c r="A107" s="19" t="s">
        <v>626</v>
      </c>
      <c r="B107" s="334" t="s">
        <v>81</v>
      </c>
      <c r="C107" s="334" t="s">
        <v>103</v>
      </c>
      <c r="D107" s="217" t="s">
        <v>306</v>
      </c>
      <c r="E107" s="334"/>
      <c r="F107" s="342">
        <f t="shared" si="3"/>
        <v>506.87268</v>
      </c>
      <c r="G107" s="565">
        <f t="shared" si="3"/>
        <v>506.87268</v>
      </c>
      <c r="H107" s="114">
        <f t="shared" si="2"/>
        <v>100</v>
      </c>
      <c r="I107" s="132"/>
      <c r="J107" s="132"/>
      <c r="K107" s="132"/>
    </row>
    <row r="108" spans="1:11" s="131" customFormat="1" ht="31.5" x14ac:dyDescent="0.25">
      <c r="A108" s="335" t="s">
        <v>88</v>
      </c>
      <c r="B108" s="334" t="s">
        <v>81</v>
      </c>
      <c r="C108" s="334" t="s">
        <v>103</v>
      </c>
      <c r="D108" s="217" t="s">
        <v>306</v>
      </c>
      <c r="E108" s="334" t="s">
        <v>89</v>
      </c>
      <c r="F108" s="342">
        <f t="shared" si="3"/>
        <v>506.87268</v>
      </c>
      <c r="G108" s="565">
        <f t="shared" si="3"/>
        <v>506.87268</v>
      </c>
      <c r="H108" s="114">
        <f t="shared" si="2"/>
        <v>100</v>
      </c>
      <c r="I108" s="132"/>
      <c r="J108" s="132"/>
      <c r="K108" s="132"/>
    </row>
    <row r="109" spans="1:11" s="131" customFormat="1" ht="31.5" customHeight="1" x14ac:dyDescent="0.25">
      <c r="A109" s="335" t="s">
        <v>90</v>
      </c>
      <c r="B109" s="334" t="s">
        <v>81</v>
      </c>
      <c r="C109" s="334" t="s">
        <v>103</v>
      </c>
      <c r="D109" s="217" t="s">
        <v>306</v>
      </c>
      <c r="E109" s="334" t="s">
        <v>91</v>
      </c>
      <c r="F109" s="342">
        <f>'Пр.4 Ведом23'!G120</f>
        <v>506.87268</v>
      </c>
      <c r="G109" s="565">
        <f>'Пр.4 Ведом23'!H120</f>
        <v>506.87268</v>
      </c>
      <c r="H109" s="114">
        <f t="shared" si="2"/>
        <v>100</v>
      </c>
      <c r="I109" s="132"/>
      <c r="J109" s="132"/>
      <c r="K109" s="132"/>
    </row>
    <row r="110" spans="1:11" s="131" customFormat="1" ht="78.75" x14ac:dyDescent="0.25">
      <c r="A110" s="213" t="s">
        <v>850</v>
      </c>
      <c r="B110" s="117" t="s">
        <v>81</v>
      </c>
      <c r="C110" s="117" t="s">
        <v>103</v>
      </c>
      <c r="D110" s="6" t="s">
        <v>313</v>
      </c>
      <c r="E110" s="117"/>
      <c r="F110" s="343">
        <f>F111+F116</f>
        <v>28.3</v>
      </c>
      <c r="G110" s="566">
        <f>G111+G116</f>
        <v>28.3</v>
      </c>
      <c r="H110" s="114">
        <f t="shared" si="2"/>
        <v>100</v>
      </c>
      <c r="I110" s="132"/>
      <c r="J110" s="132"/>
      <c r="K110" s="132"/>
    </row>
    <row r="111" spans="1:11" s="75" customFormat="1" ht="47.25" x14ac:dyDescent="0.25">
      <c r="A111" s="66" t="s">
        <v>107</v>
      </c>
      <c r="B111" s="334" t="s">
        <v>81</v>
      </c>
      <c r="C111" s="334" t="s">
        <v>103</v>
      </c>
      <c r="D111" s="217" t="s">
        <v>307</v>
      </c>
      <c r="E111" s="334"/>
      <c r="F111" s="342">
        <f>F112+F114</f>
        <v>28.3</v>
      </c>
      <c r="G111" s="565">
        <f>G112+G114</f>
        <v>28.3</v>
      </c>
      <c r="H111" s="114">
        <f t="shared" si="2"/>
        <v>100</v>
      </c>
      <c r="I111" s="132"/>
      <c r="J111" s="132"/>
      <c r="K111" s="132"/>
    </row>
    <row r="112" spans="1:11" s="75" customFormat="1" ht="78.75" x14ac:dyDescent="0.25">
      <c r="A112" s="335" t="s">
        <v>84</v>
      </c>
      <c r="B112" s="334" t="s">
        <v>81</v>
      </c>
      <c r="C112" s="334" t="s">
        <v>103</v>
      </c>
      <c r="D112" s="217" t="s">
        <v>307</v>
      </c>
      <c r="E112" s="334" t="s">
        <v>85</v>
      </c>
      <c r="F112" s="342">
        <f>F113</f>
        <v>17.300000000000004</v>
      </c>
      <c r="G112" s="565">
        <f>G113</f>
        <v>17.3</v>
      </c>
      <c r="H112" s="114">
        <f t="shared" si="2"/>
        <v>99.999999999999972</v>
      </c>
      <c r="I112" s="132"/>
      <c r="J112" s="132"/>
      <c r="K112" s="132"/>
    </row>
    <row r="113" spans="1:11" s="75" customFormat="1" ht="31.5" x14ac:dyDescent="0.25">
      <c r="A113" s="335" t="s">
        <v>86</v>
      </c>
      <c r="B113" s="334" t="s">
        <v>81</v>
      </c>
      <c r="C113" s="334" t="s">
        <v>103</v>
      </c>
      <c r="D113" s="217" t="s">
        <v>307</v>
      </c>
      <c r="E113" s="334" t="s">
        <v>87</v>
      </c>
      <c r="F113" s="342">
        <f>'Пр.4 Ведом23'!G124</f>
        <v>17.300000000000004</v>
      </c>
      <c r="G113" s="565">
        <f>'Пр.4 Ведом23'!H124</f>
        <v>17.3</v>
      </c>
      <c r="H113" s="114">
        <f t="shared" si="2"/>
        <v>99.999999999999972</v>
      </c>
      <c r="I113" s="132"/>
      <c r="J113" s="132"/>
      <c r="K113" s="132"/>
    </row>
    <row r="114" spans="1:11" s="75" customFormat="1" ht="31.5" x14ac:dyDescent="0.25">
      <c r="A114" s="335" t="s">
        <v>88</v>
      </c>
      <c r="B114" s="334" t="s">
        <v>81</v>
      </c>
      <c r="C114" s="334" t="s">
        <v>103</v>
      </c>
      <c r="D114" s="217" t="s">
        <v>307</v>
      </c>
      <c r="E114" s="334" t="s">
        <v>89</v>
      </c>
      <c r="F114" s="342">
        <f>F115</f>
        <v>10.999999999999996</v>
      </c>
      <c r="G114" s="565">
        <f>G115</f>
        <v>11</v>
      </c>
      <c r="H114" s="114">
        <f t="shared" si="2"/>
        <v>100.00000000000003</v>
      </c>
      <c r="I114" s="132"/>
      <c r="J114" s="132"/>
      <c r="K114" s="132"/>
    </row>
    <row r="115" spans="1:11" s="75" customFormat="1" ht="31.5" customHeight="1" x14ac:dyDescent="0.25">
      <c r="A115" s="335" t="s">
        <v>90</v>
      </c>
      <c r="B115" s="334" t="s">
        <v>81</v>
      </c>
      <c r="C115" s="334" t="s">
        <v>103</v>
      </c>
      <c r="D115" s="217" t="s">
        <v>307</v>
      </c>
      <c r="E115" s="334" t="s">
        <v>91</v>
      </c>
      <c r="F115" s="342">
        <f>'Пр.4 Ведом23'!G126</f>
        <v>10.999999999999996</v>
      </c>
      <c r="G115" s="565">
        <f>'Пр.4 Ведом23'!H126</f>
        <v>11</v>
      </c>
      <c r="H115" s="114">
        <f t="shared" si="2"/>
        <v>100.00000000000003</v>
      </c>
      <c r="I115" s="132"/>
      <c r="J115" s="132"/>
      <c r="K115" s="132"/>
    </row>
    <row r="116" spans="1:11" s="75" customFormat="1" ht="47.25" hidden="1" customHeight="1" x14ac:dyDescent="0.25">
      <c r="A116" s="20" t="s">
        <v>504</v>
      </c>
      <c r="B116" s="334" t="s">
        <v>81</v>
      </c>
      <c r="C116" s="334" t="s">
        <v>103</v>
      </c>
      <c r="D116" s="217" t="s">
        <v>422</v>
      </c>
      <c r="E116" s="334"/>
      <c r="F116" s="342">
        <f>F117</f>
        <v>0</v>
      </c>
      <c r="G116" s="565">
        <f>G117</f>
        <v>0</v>
      </c>
      <c r="H116" s="114" t="e">
        <f t="shared" si="2"/>
        <v>#DIV/0!</v>
      </c>
      <c r="I116" s="132"/>
      <c r="J116" s="132"/>
      <c r="K116" s="132"/>
    </row>
    <row r="117" spans="1:11" s="75" customFormat="1" ht="31.5" hidden="1" customHeight="1" x14ac:dyDescent="0.25">
      <c r="A117" s="335" t="s">
        <v>88</v>
      </c>
      <c r="B117" s="334" t="s">
        <v>81</v>
      </c>
      <c r="C117" s="334" t="s">
        <v>103</v>
      </c>
      <c r="D117" s="217" t="s">
        <v>422</v>
      </c>
      <c r="E117" s="334" t="s">
        <v>89</v>
      </c>
      <c r="F117" s="342">
        <f>F118</f>
        <v>0</v>
      </c>
      <c r="G117" s="565">
        <f>G118</f>
        <v>0</v>
      </c>
      <c r="H117" s="114" t="e">
        <f t="shared" si="2"/>
        <v>#DIV/0!</v>
      </c>
      <c r="I117" s="132"/>
      <c r="J117" s="132"/>
      <c r="K117" s="132"/>
    </row>
    <row r="118" spans="1:11" s="75" customFormat="1" ht="31.5" hidden="1" customHeight="1" x14ac:dyDescent="0.25">
      <c r="A118" s="335" t="s">
        <v>90</v>
      </c>
      <c r="B118" s="334" t="s">
        <v>81</v>
      </c>
      <c r="C118" s="334" t="s">
        <v>103</v>
      </c>
      <c r="D118" s="217" t="s">
        <v>257</v>
      </c>
      <c r="E118" s="334" t="s">
        <v>91</v>
      </c>
      <c r="F118" s="342">
        <f>'Пр.4 Ведом23'!G129</f>
        <v>0</v>
      </c>
      <c r="G118" s="565">
        <f>'Пр.4 Ведом23'!H129</f>
        <v>0</v>
      </c>
      <c r="H118" s="114" t="e">
        <f t="shared" si="2"/>
        <v>#DIV/0!</v>
      </c>
      <c r="I118" s="132"/>
      <c r="J118" s="132"/>
      <c r="K118" s="132"/>
    </row>
    <row r="119" spans="1:11" s="75" customFormat="1" ht="63" hidden="1" customHeight="1" x14ac:dyDescent="0.25">
      <c r="A119" s="82" t="s">
        <v>432</v>
      </c>
      <c r="B119" s="117" t="s">
        <v>81</v>
      </c>
      <c r="C119" s="117" t="s">
        <v>103</v>
      </c>
      <c r="D119" s="6" t="s">
        <v>314</v>
      </c>
      <c r="E119" s="117"/>
      <c r="F119" s="343">
        <f t="shared" ref="F119:G121" si="4">F120</f>
        <v>0</v>
      </c>
      <c r="G119" s="566">
        <f t="shared" si="4"/>
        <v>0</v>
      </c>
      <c r="H119" s="114" t="e">
        <f t="shared" si="2"/>
        <v>#DIV/0!</v>
      </c>
      <c r="I119" s="132"/>
      <c r="J119" s="132"/>
      <c r="K119" s="132"/>
    </row>
    <row r="120" spans="1:11" s="75" customFormat="1" ht="47.25" hidden="1" customHeight="1" x14ac:dyDescent="0.25">
      <c r="A120" s="21" t="s">
        <v>112</v>
      </c>
      <c r="B120" s="334" t="s">
        <v>81</v>
      </c>
      <c r="C120" s="334" t="s">
        <v>103</v>
      </c>
      <c r="D120" s="217" t="s">
        <v>308</v>
      </c>
      <c r="E120" s="334"/>
      <c r="F120" s="342">
        <f t="shared" si="4"/>
        <v>0</v>
      </c>
      <c r="G120" s="565">
        <f t="shared" si="4"/>
        <v>0</v>
      </c>
      <c r="H120" s="114" t="e">
        <f t="shared" si="2"/>
        <v>#DIV/0!</v>
      </c>
      <c r="I120" s="132"/>
      <c r="J120" s="132"/>
      <c r="K120" s="132"/>
    </row>
    <row r="121" spans="1:11" s="75" customFormat="1" ht="31.5" hidden="1" customHeight="1" x14ac:dyDescent="0.25">
      <c r="A121" s="335" t="s">
        <v>88</v>
      </c>
      <c r="B121" s="334" t="s">
        <v>81</v>
      </c>
      <c r="C121" s="334" t="s">
        <v>103</v>
      </c>
      <c r="D121" s="217" t="s">
        <v>308</v>
      </c>
      <c r="E121" s="334" t="s">
        <v>89</v>
      </c>
      <c r="F121" s="342">
        <f t="shared" si="4"/>
        <v>0</v>
      </c>
      <c r="G121" s="565">
        <f t="shared" si="4"/>
        <v>0</v>
      </c>
      <c r="H121" s="114" t="e">
        <f t="shared" si="2"/>
        <v>#DIV/0!</v>
      </c>
      <c r="I121" s="132"/>
      <c r="J121" s="132"/>
      <c r="K121" s="132"/>
    </row>
    <row r="122" spans="1:11" s="75" customFormat="1" ht="31.5" hidden="1" customHeight="1" x14ac:dyDescent="0.25">
      <c r="A122" s="335" t="s">
        <v>90</v>
      </c>
      <c r="B122" s="334" t="s">
        <v>81</v>
      </c>
      <c r="C122" s="334" t="s">
        <v>103</v>
      </c>
      <c r="D122" s="217" t="s">
        <v>308</v>
      </c>
      <c r="E122" s="334" t="s">
        <v>91</v>
      </c>
      <c r="F122" s="337">
        <f>'Пр.4 Ведом23'!G133</f>
        <v>0</v>
      </c>
      <c r="G122" s="337">
        <f>'Пр.4 Ведом23'!H133</f>
        <v>0</v>
      </c>
      <c r="H122" s="114" t="e">
        <f t="shared" si="2"/>
        <v>#DIV/0!</v>
      </c>
      <c r="I122" s="132"/>
      <c r="J122" s="132"/>
      <c r="K122" s="132"/>
    </row>
    <row r="123" spans="1:11" s="75" customFormat="1" ht="47.25" x14ac:dyDescent="0.25">
      <c r="A123" s="116" t="s">
        <v>82</v>
      </c>
      <c r="B123" s="117" t="s">
        <v>81</v>
      </c>
      <c r="C123" s="117" t="s">
        <v>83</v>
      </c>
      <c r="D123" s="117"/>
      <c r="E123" s="117"/>
      <c r="F123" s="338">
        <f>F124</f>
        <v>22222.222259999999</v>
      </c>
      <c r="G123" s="338">
        <f>G124</f>
        <v>22200.45448</v>
      </c>
      <c r="H123" s="113">
        <f t="shared" si="2"/>
        <v>99.90204499016653</v>
      </c>
      <c r="I123" s="132"/>
      <c r="J123" s="132"/>
      <c r="K123" s="132"/>
    </row>
    <row r="124" spans="1:11" s="75" customFormat="1" ht="31.5" x14ac:dyDescent="0.25">
      <c r="A124" s="116" t="s">
        <v>362</v>
      </c>
      <c r="B124" s="117" t="s">
        <v>81</v>
      </c>
      <c r="C124" s="117" t="s">
        <v>83</v>
      </c>
      <c r="D124" s="117" t="s">
        <v>321</v>
      </c>
      <c r="E124" s="117"/>
      <c r="F124" s="338">
        <f>F125+F142</f>
        <v>22222.222259999999</v>
      </c>
      <c r="G124" s="338">
        <f>G125+G142</f>
        <v>22200.45448</v>
      </c>
      <c r="H124" s="113">
        <f t="shared" si="2"/>
        <v>99.90204499016653</v>
      </c>
      <c r="I124" s="132"/>
      <c r="J124" s="132"/>
      <c r="K124" s="132"/>
    </row>
    <row r="125" spans="1:11" s="75" customFormat="1" ht="15.75" x14ac:dyDescent="0.25">
      <c r="A125" s="116" t="s">
        <v>363</v>
      </c>
      <c r="B125" s="117" t="s">
        <v>81</v>
      </c>
      <c r="C125" s="117" t="s">
        <v>83</v>
      </c>
      <c r="D125" s="117" t="s">
        <v>322</v>
      </c>
      <c r="E125" s="117"/>
      <c r="F125" s="343">
        <f>F126+F133+F136+F139</f>
        <v>18521.4905</v>
      </c>
      <c r="G125" s="566">
        <f>G126+G133+G136+G139</f>
        <v>18503.29106</v>
      </c>
      <c r="H125" s="113">
        <f t="shared" si="2"/>
        <v>99.901738793646217</v>
      </c>
      <c r="I125" s="132"/>
      <c r="J125" s="132"/>
      <c r="K125" s="132"/>
    </row>
    <row r="126" spans="1:11" s="75" customFormat="1" ht="31.5" x14ac:dyDescent="0.25">
      <c r="A126" s="335" t="s">
        <v>346</v>
      </c>
      <c r="B126" s="334" t="s">
        <v>81</v>
      </c>
      <c r="C126" s="334" t="s">
        <v>83</v>
      </c>
      <c r="D126" s="334" t="s">
        <v>323</v>
      </c>
      <c r="E126" s="334"/>
      <c r="F126" s="342">
        <f>F127+F129+F131</f>
        <v>18083.218730000001</v>
      </c>
      <c r="G126" s="565">
        <f>G127+G129+G131</f>
        <v>18065.01929</v>
      </c>
      <c r="H126" s="114">
        <f t="shared" si="2"/>
        <v>99.899357297659591</v>
      </c>
      <c r="I126" s="132"/>
      <c r="J126" s="132"/>
      <c r="K126" s="132"/>
    </row>
    <row r="127" spans="1:11" s="75" customFormat="1" ht="78.75" x14ac:dyDescent="0.25">
      <c r="A127" s="335" t="s">
        <v>84</v>
      </c>
      <c r="B127" s="334" t="s">
        <v>81</v>
      </c>
      <c r="C127" s="334" t="s">
        <v>83</v>
      </c>
      <c r="D127" s="334" t="s">
        <v>323</v>
      </c>
      <c r="E127" s="334" t="s">
        <v>85</v>
      </c>
      <c r="F127" s="342">
        <f>F128</f>
        <v>17021.638619999998</v>
      </c>
      <c r="G127" s="565">
        <f>G128</f>
        <v>17003.46718</v>
      </c>
      <c r="H127" s="114">
        <f t="shared" si="2"/>
        <v>99.893245060562805</v>
      </c>
      <c r="I127" s="132"/>
      <c r="J127" s="132"/>
      <c r="K127" s="132"/>
    </row>
    <row r="128" spans="1:11" s="75" customFormat="1" ht="31.5" x14ac:dyDescent="0.25">
      <c r="A128" s="335" t="s">
        <v>86</v>
      </c>
      <c r="B128" s="334" t="s">
        <v>81</v>
      </c>
      <c r="C128" s="334" t="s">
        <v>83</v>
      </c>
      <c r="D128" s="334" t="s">
        <v>323</v>
      </c>
      <c r="E128" s="334" t="s">
        <v>87</v>
      </c>
      <c r="F128" s="342">
        <f>'Пр.4 Ведом23'!G18+'Пр.4 Ведом23'!G139</f>
        <v>17021.638619999998</v>
      </c>
      <c r="G128" s="565">
        <f>'Пр.4 Ведом23'!H18+'Пр.4 Ведом23'!H139</f>
        <v>17003.46718</v>
      </c>
      <c r="H128" s="114">
        <f t="shared" si="2"/>
        <v>99.893245060562805</v>
      </c>
      <c r="I128" s="132"/>
      <c r="J128" s="132"/>
      <c r="K128" s="132"/>
    </row>
    <row r="129" spans="1:11" ht="31.5" x14ac:dyDescent="0.25">
      <c r="A129" s="335" t="s">
        <v>88</v>
      </c>
      <c r="B129" s="334" t="s">
        <v>81</v>
      </c>
      <c r="C129" s="334" t="s">
        <v>83</v>
      </c>
      <c r="D129" s="334" t="s">
        <v>323</v>
      </c>
      <c r="E129" s="334" t="s">
        <v>89</v>
      </c>
      <c r="F129" s="342">
        <f>F130</f>
        <v>1061.4651099999999</v>
      </c>
      <c r="G129" s="565">
        <f>G130</f>
        <v>1061.4371100000001</v>
      </c>
      <c r="H129" s="114">
        <f t="shared" si="2"/>
        <v>99.997362136566153</v>
      </c>
    </row>
    <row r="130" spans="1:11" ht="31.5" customHeight="1" x14ac:dyDescent="0.25">
      <c r="A130" s="335" t="s">
        <v>90</v>
      </c>
      <c r="B130" s="334" t="s">
        <v>81</v>
      </c>
      <c r="C130" s="334" t="s">
        <v>83</v>
      </c>
      <c r="D130" s="334" t="s">
        <v>323</v>
      </c>
      <c r="E130" s="334" t="s">
        <v>91</v>
      </c>
      <c r="F130" s="342">
        <f>'Пр.4 Ведом23'!G19</f>
        <v>1061.4651099999999</v>
      </c>
      <c r="G130" s="565">
        <f>'Пр.4 Ведом23'!H19</f>
        <v>1061.4371100000001</v>
      </c>
      <c r="H130" s="114">
        <f t="shared" si="2"/>
        <v>99.997362136566153</v>
      </c>
    </row>
    <row r="131" spans="1:11" ht="15.75" x14ac:dyDescent="0.25">
      <c r="A131" s="335" t="s">
        <v>92</v>
      </c>
      <c r="B131" s="334" t="s">
        <v>81</v>
      </c>
      <c r="C131" s="334" t="s">
        <v>83</v>
      </c>
      <c r="D131" s="334" t="s">
        <v>323</v>
      </c>
      <c r="E131" s="334" t="s">
        <v>93</v>
      </c>
      <c r="F131" s="342">
        <f>F132</f>
        <v>0.115</v>
      </c>
      <c r="G131" s="565">
        <f>G132</f>
        <v>0.115</v>
      </c>
      <c r="H131" s="114">
        <f t="shared" si="2"/>
        <v>100</v>
      </c>
    </row>
    <row r="132" spans="1:11" ht="15.75" x14ac:dyDescent="0.25">
      <c r="A132" s="335" t="s">
        <v>223</v>
      </c>
      <c r="B132" s="334" t="s">
        <v>81</v>
      </c>
      <c r="C132" s="334" t="s">
        <v>83</v>
      </c>
      <c r="D132" s="334" t="s">
        <v>323</v>
      </c>
      <c r="E132" s="334" t="s">
        <v>94</v>
      </c>
      <c r="F132" s="342">
        <f>'Пр.4 Ведом23'!G22</f>
        <v>0.115</v>
      </c>
      <c r="G132" s="565">
        <f>'Пр.4 Ведом23'!H22</f>
        <v>0.115</v>
      </c>
      <c r="H132" s="114">
        <f t="shared" si="2"/>
        <v>100</v>
      </c>
    </row>
    <row r="133" spans="1:11" ht="47.25" x14ac:dyDescent="0.25">
      <c r="A133" s="335" t="s">
        <v>304</v>
      </c>
      <c r="B133" s="334" t="s">
        <v>81</v>
      </c>
      <c r="C133" s="334" t="s">
        <v>83</v>
      </c>
      <c r="D133" s="334" t="s">
        <v>325</v>
      </c>
      <c r="E133" s="334"/>
      <c r="F133" s="342">
        <f>F134</f>
        <v>260.09750000000003</v>
      </c>
      <c r="G133" s="565">
        <f>G134</f>
        <v>260.09750000000003</v>
      </c>
      <c r="H133" s="114">
        <f t="shared" si="2"/>
        <v>100</v>
      </c>
    </row>
    <row r="134" spans="1:11" ht="78.75" x14ac:dyDescent="0.25">
      <c r="A134" s="335" t="s">
        <v>84</v>
      </c>
      <c r="B134" s="334" t="s">
        <v>81</v>
      </c>
      <c r="C134" s="334" t="s">
        <v>83</v>
      </c>
      <c r="D134" s="334" t="s">
        <v>325</v>
      </c>
      <c r="E134" s="334" t="s">
        <v>85</v>
      </c>
      <c r="F134" s="303">
        <f>F135</f>
        <v>260.09750000000003</v>
      </c>
      <c r="G134" s="303">
        <f>G135</f>
        <v>260.09750000000003</v>
      </c>
      <c r="H134" s="114">
        <f t="shared" si="2"/>
        <v>100</v>
      </c>
    </row>
    <row r="135" spans="1:11" ht="31.5" x14ac:dyDescent="0.25">
      <c r="A135" s="335" t="s">
        <v>86</v>
      </c>
      <c r="B135" s="334" t="s">
        <v>81</v>
      </c>
      <c r="C135" s="334" t="s">
        <v>83</v>
      </c>
      <c r="D135" s="334" t="s">
        <v>325</v>
      </c>
      <c r="E135" s="334" t="s">
        <v>87</v>
      </c>
      <c r="F135" s="342">
        <f>'Пр.4 Ведом23'!G25+'Пр.4 Ведом23'!G142</f>
        <v>260.09750000000003</v>
      </c>
      <c r="G135" s="565">
        <f>'Пр.4 Ведом23'!H25+'Пр.4 Ведом23'!H142</f>
        <v>260.09750000000003</v>
      </c>
      <c r="H135" s="114">
        <f t="shared" si="2"/>
        <v>100</v>
      </c>
    </row>
    <row r="136" spans="1:11" s="332" customFormat="1" ht="31.5" x14ac:dyDescent="0.25">
      <c r="A136" s="335" t="s">
        <v>1085</v>
      </c>
      <c r="B136" s="334" t="s">
        <v>81</v>
      </c>
      <c r="C136" s="334" t="s">
        <v>83</v>
      </c>
      <c r="D136" s="334" t="s">
        <v>1081</v>
      </c>
      <c r="E136" s="334"/>
      <c r="F136" s="342">
        <f>F137</f>
        <v>117.18</v>
      </c>
      <c r="G136" s="565">
        <f>G137</f>
        <v>117.18</v>
      </c>
      <c r="H136" s="114">
        <f t="shared" si="2"/>
        <v>100</v>
      </c>
      <c r="I136" s="333"/>
      <c r="J136" s="333"/>
      <c r="K136" s="333"/>
    </row>
    <row r="137" spans="1:11" s="332" customFormat="1" ht="78.75" x14ac:dyDescent="0.25">
      <c r="A137" s="335" t="s">
        <v>84</v>
      </c>
      <c r="B137" s="334" t="s">
        <v>81</v>
      </c>
      <c r="C137" s="334" t="s">
        <v>83</v>
      </c>
      <c r="D137" s="334" t="s">
        <v>1081</v>
      </c>
      <c r="E137" s="334" t="s">
        <v>85</v>
      </c>
      <c r="F137" s="342">
        <f>F138</f>
        <v>117.18</v>
      </c>
      <c r="G137" s="565">
        <f>G138</f>
        <v>117.18</v>
      </c>
      <c r="H137" s="114">
        <f t="shared" si="2"/>
        <v>100</v>
      </c>
      <c r="I137" s="333"/>
      <c r="J137" s="333"/>
      <c r="K137" s="333"/>
    </row>
    <row r="138" spans="1:11" s="332" customFormat="1" ht="31.5" x14ac:dyDescent="0.25">
      <c r="A138" s="335" t="s">
        <v>86</v>
      </c>
      <c r="B138" s="334" t="s">
        <v>81</v>
      </c>
      <c r="C138" s="334" t="s">
        <v>83</v>
      </c>
      <c r="D138" s="334" t="s">
        <v>1081</v>
      </c>
      <c r="E138" s="334" t="s">
        <v>87</v>
      </c>
      <c r="F138" s="342">
        <f>'Пр.4 Ведом23'!G28</f>
        <v>117.18</v>
      </c>
      <c r="G138" s="565">
        <f>'Пр.4 Ведом23'!H28</f>
        <v>117.18</v>
      </c>
      <c r="H138" s="114">
        <f t="shared" si="2"/>
        <v>100</v>
      </c>
      <c r="I138" s="333"/>
      <c r="J138" s="333"/>
      <c r="K138" s="333"/>
    </row>
    <row r="139" spans="1:11" s="332" customFormat="1" ht="49.5" customHeight="1" x14ac:dyDescent="0.25">
      <c r="A139" s="335" t="s">
        <v>1107</v>
      </c>
      <c r="B139" s="334" t="s">
        <v>81</v>
      </c>
      <c r="C139" s="334" t="s">
        <v>83</v>
      </c>
      <c r="D139" s="334" t="s">
        <v>1106</v>
      </c>
      <c r="E139" s="334"/>
      <c r="F139" s="342">
        <f>F140</f>
        <v>60.99427</v>
      </c>
      <c r="G139" s="565">
        <f>G140</f>
        <v>60.99427</v>
      </c>
      <c r="H139" s="114">
        <f t="shared" ref="H139:H202" si="5">G139/F139*100</f>
        <v>100</v>
      </c>
      <c r="I139" s="333"/>
      <c r="J139" s="333"/>
      <c r="K139" s="333"/>
    </row>
    <row r="140" spans="1:11" s="332" customFormat="1" ht="62.25" customHeight="1" x14ac:dyDescent="0.25">
      <c r="A140" s="335" t="s">
        <v>84</v>
      </c>
      <c r="B140" s="334" t="s">
        <v>81</v>
      </c>
      <c r="C140" s="334" t="s">
        <v>83</v>
      </c>
      <c r="D140" s="334" t="s">
        <v>1106</v>
      </c>
      <c r="E140" s="334" t="s">
        <v>85</v>
      </c>
      <c r="F140" s="342">
        <f>F141</f>
        <v>60.99427</v>
      </c>
      <c r="G140" s="565">
        <f>G141</f>
        <v>60.99427</v>
      </c>
      <c r="H140" s="114">
        <f t="shared" si="5"/>
        <v>100</v>
      </c>
      <c r="I140" s="333"/>
      <c r="J140" s="333"/>
      <c r="K140" s="333"/>
    </row>
    <row r="141" spans="1:11" s="332" customFormat="1" ht="38.25" customHeight="1" x14ac:dyDescent="0.25">
      <c r="A141" s="335" t="s">
        <v>86</v>
      </c>
      <c r="B141" s="334" t="s">
        <v>81</v>
      </c>
      <c r="C141" s="334" t="s">
        <v>83</v>
      </c>
      <c r="D141" s="334" t="s">
        <v>1106</v>
      </c>
      <c r="E141" s="334" t="s">
        <v>87</v>
      </c>
      <c r="F141" s="342">
        <f>'Пр.4 Ведом23'!G31</f>
        <v>60.99427</v>
      </c>
      <c r="G141" s="565">
        <f>'Пр.4 Ведом23'!H31</f>
        <v>60.99427</v>
      </c>
      <c r="H141" s="114">
        <f t="shared" si="5"/>
        <v>100</v>
      </c>
      <c r="I141" s="333"/>
      <c r="J141" s="333"/>
      <c r="K141" s="333"/>
    </row>
    <row r="142" spans="1:11" ht="31.5" x14ac:dyDescent="0.25">
      <c r="A142" s="116" t="s">
        <v>731</v>
      </c>
      <c r="B142" s="117" t="s">
        <v>81</v>
      </c>
      <c r="C142" s="117" t="s">
        <v>83</v>
      </c>
      <c r="D142" s="117" t="s">
        <v>732</v>
      </c>
      <c r="E142" s="117"/>
      <c r="F142" s="343">
        <f>F143+F150+F153+F156</f>
        <v>3700.7317599999997</v>
      </c>
      <c r="G142" s="566">
        <f>G143+G150+G153+G156</f>
        <v>3697.1634199999999</v>
      </c>
      <c r="H142" s="113">
        <f t="shared" si="5"/>
        <v>99.903577448153129</v>
      </c>
    </row>
    <row r="143" spans="1:11" ht="31.5" x14ac:dyDescent="0.25">
      <c r="A143" s="335" t="s">
        <v>346</v>
      </c>
      <c r="B143" s="334" t="s">
        <v>81</v>
      </c>
      <c r="C143" s="334" t="s">
        <v>83</v>
      </c>
      <c r="D143" s="334" t="s">
        <v>735</v>
      </c>
      <c r="E143" s="334"/>
      <c r="F143" s="342">
        <f>F144+F146</f>
        <v>842.11</v>
      </c>
      <c r="G143" s="565">
        <f>G144+G146</f>
        <v>839.03146000000004</v>
      </c>
      <c r="H143" s="114">
        <f t="shared" si="5"/>
        <v>99.634425431356959</v>
      </c>
    </row>
    <row r="144" spans="1:11" ht="78.75" x14ac:dyDescent="0.25">
      <c r="A144" s="335" t="s">
        <v>84</v>
      </c>
      <c r="B144" s="334" t="s">
        <v>81</v>
      </c>
      <c r="C144" s="334" t="s">
        <v>83</v>
      </c>
      <c r="D144" s="334" t="s">
        <v>735</v>
      </c>
      <c r="E144" s="334" t="s">
        <v>85</v>
      </c>
      <c r="F144" s="342">
        <f>+F145</f>
        <v>800.93000000000006</v>
      </c>
      <c r="G144" s="565">
        <f>+G145</f>
        <v>800.79046000000005</v>
      </c>
      <c r="H144" s="114">
        <f t="shared" si="5"/>
        <v>99.98257775336171</v>
      </c>
    </row>
    <row r="145" spans="1:11" s="75" customFormat="1" ht="31.5" x14ac:dyDescent="0.25">
      <c r="A145" s="335" t="s">
        <v>86</v>
      </c>
      <c r="B145" s="334" t="s">
        <v>81</v>
      </c>
      <c r="C145" s="334" t="s">
        <v>83</v>
      </c>
      <c r="D145" s="334" t="s">
        <v>735</v>
      </c>
      <c r="E145" s="334" t="s">
        <v>87</v>
      </c>
      <c r="F145" s="342">
        <f>'Пр.4 Ведом23'!G644</f>
        <v>800.93000000000006</v>
      </c>
      <c r="G145" s="565">
        <f>'Пр.4 Ведом23'!H644</f>
        <v>800.79046000000005</v>
      </c>
      <c r="H145" s="114">
        <f t="shared" si="5"/>
        <v>99.98257775336171</v>
      </c>
      <c r="I145" s="132"/>
      <c r="J145" s="132"/>
      <c r="K145" s="132"/>
    </row>
    <row r="146" spans="1:11" s="75" customFormat="1" ht="31.5" x14ac:dyDescent="0.25">
      <c r="A146" s="335" t="s">
        <v>114</v>
      </c>
      <c r="B146" s="334" t="s">
        <v>81</v>
      </c>
      <c r="C146" s="334" t="s">
        <v>83</v>
      </c>
      <c r="D146" s="334" t="s">
        <v>735</v>
      </c>
      <c r="E146" s="334" t="s">
        <v>89</v>
      </c>
      <c r="F146" s="342">
        <f>F147</f>
        <v>41.18</v>
      </c>
      <c r="G146" s="565">
        <f>G147</f>
        <v>38.241</v>
      </c>
      <c r="H146" s="114">
        <f t="shared" si="5"/>
        <v>92.863040310830499</v>
      </c>
      <c r="I146" s="132"/>
      <c r="J146" s="132"/>
      <c r="K146" s="132"/>
    </row>
    <row r="147" spans="1:11" s="75" customFormat="1" ht="31.5" customHeight="1" x14ac:dyDescent="0.25">
      <c r="A147" s="335" t="s">
        <v>90</v>
      </c>
      <c r="B147" s="334" t="s">
        <v>81</v>
      </c>
      <c r="C147" s="334" t="s">
        <v>83</v>
      </c>
      <c r="D147" s="334" t="s">
        <v>735</v>
      </c>
      <c r="E147" s="334" t="s">
        <v>91</v>
      </c>
      <c r="F147" s="342">
        <f>'Пр.4 Ведом23'!G646</f>
        <v>41.18</v>
      </c>
      <c r="G147" s="565">
        <f>'Пр.4 Ведом23'!H646</f>
        <v>38.241</v>
      </c>
      <c r="H147" s="114">
        <f t="shared" si="5"/>
        <v>92.863040310830499</v>
      </c>
      <c r="I147" s="132"/>
      <c r="J147" s="132"/>
      <c r="K147" s="132"/>
    </row>
    <row r="148" spans="1:11" s="131" customFormat="1" ht="15.75" hidden="1" customHeight="1" x14ac:dyDescent="0.25">
      <c r="A148" s="335" t="s">
        <v>92</v>
      </c>
      <c r="B148" s="334" t="s">
        <v>81</v>
      </c>
      <c r="C148" s="334" t="s">
        <v>83</v>
      </c>
      <c r="D148" s="334" t="s">
        <v>735</v>
      </c>
      <c r="E148" s="334" t="s">
        <v>98</v>
      </c>
      <c r="F148" s="342">
        <f>F149</f>
        <v>0</v>
      </c>
      <c r="G148" s="565">
        <f>G149</f>
        <v>0</v>
      </c>
      <c r="H148" s="114" t="e">
        <f t="shared" si="5"/>
        <v>#DIV/0!</v>
      </c>
      <c r="I148" s="132"/>
      <c r="J148" s="132"/>
      <c r="K148" s="132"/>
    </row>
    <row r="149" spans="1:11" s="131" customFormat="1" ht="15.75" hidden="1" customHeight="1" x14ac:dyDescent="0.25">
      <c r="A149" s="335" t="s">
        <v>223</v>
      </c>
      <c r="B149" s="334" t="s">
        <v>81</v>
      </c>
      <c r="C149" s="334" t="s">
        <v>83</v>
      </c>
      <c r="D149" s="334" t="s">
        <v>735</v>
      </c>
      <c r="E149" s="334" t="s">
        <v>94</v>
      </c>
      <c r="F149" s="342">
        <f>'Пр.4 Ведом23'!G648</f>
        <v>0</v>
      </c>
      <c r="G149" s="565">
        <f>'Пр.4 Ведом23'!H648</f>
        <v>0</v>
      </c>
      <c r="H149" s="114" t="e">
        <f t="shared" si="5"/>
        <v>#DIV/0!</v>
      </c>
      <c r="I149" s="132"/>
      <c r="J149" s="132"/>
      <c r="K149" s="132"/>
    </row>
    <row r="150" spans="1:11" s="131" customFormat="1" ht="47.25" x14ac:dyDescent="0.25">
      <c r="A150" s="335" t="s">
        <v>733</v>
      </c>
      <c r="B150" s="334" t="s">
        <v>81</v>
      </c>
      <c r="C150" s="334" t="s">
        <v>83</v>
      </c>
      <c r="D150" s="334" t="s">
        <v>734</v>
      </c>
      <c r="E150" s="334"/>
      <c r="F150" s="342">
        <f>F151</f>
        <v>2735.3799999999997</v>
      </c>
      <c r="G150" s="565">
        <f>G151</f>
        <v>2734.8901999999998</v>
      </c>
      <c r="H150" s="114">
        <f t="shared" si="5"/>
        <v>99.982093895546512</v>
      </c>
      <c r="I150" s="132"/>
      <c r="J150" s="132"/>
      <c r="K150" s="132"/>
    </row>
    <row r="151" spans="1:11" s="131" customFormat="1" ht="78.75" x14ac:dyDescent="0.25">
      <c r="A151" s="335" t="s">
        <v>84</v>
      </c>
      <c r="B151" s="334" t="s">
        <v>81</v>
      </c>
      <c r="C151" s="334" t="s">
        <v>83</v>
      </c>
      <c r="D151" s="334" t="s">
        <v>734</v>
      </c>
      <c r="E151" s="334" t="s">
        <v>85</v>
      </c>
      <c r="F151" s="342">
        <f>F152</f>
        <v>2735.3799999999997</v>
      </c>
      <c r="G151" s="565">
        <f>G152</f>
        <v>2734.8901999999998</v>
      </c>
      <c r="H151" s="114">
        <f t="shared" si="5"/>
        <v>99.982093895546512</v>
      </c>
      <c r="I151" s="132"/>
      <c r="J151" s="132"/>
      <c r="K151" s="132"/>
    </row>
    <row r="152" spans="1:11" s="131" customFormat="1" ht="31.5" x14ac:dyDescent="0.25">
      <c r="A152" s="335" t="s">
        <v>86</v>
      </c>
      <c r="B152" s="334" t="s">
        <v>81</v>
      </c>
      <c r="C152" s="334" t="s">
        <v>83</v>
      </c>
      <c r="D152" s="334" t="s">
        <v>734</v>
      </c>
      <c r="E152" s="334" t="s">
        <v>87</v>
      </c>
      <c r="F152" s="342">
        <f>'Пр.4 Ведом23'!G651</f>
        <v>2735.3799999999997</v>
      </c>
      <c r="G152" s="565">
        <f>'Пр.4 Ведом23'!H651</f>
        <v>2734.8901999999998</v>
      </c>
      <c r="H152" s="114">
        <f t="shared" si="5"/>
        <v>99.982093895546512</v>
      </c>
      <c r="I152" s="132"/>
      <c r="J152" s="132"/>
      <c r="K152" s="132"/>
    </row>
    <row r="153" spans="1:11" s="131" customFormat="1" ht="47.25" x14ac:dyDescent="0.25">
      <c r="A153" s="335" t="s">
        <v>304</v>
      </c>
      <c r="B153" s="334" t="s">
        <v>81</v>
      </c>
      <c r="C153" s="334" t="s">
        <v>83</v>
      </c>
      <c r="D153" s="334" t="s">
        <v>768</v>
      </c>
      <c r="E153" s="334"/>
      <c r="F153" s="342">
        <f>F154</f>
        <v>87.12</v>
      </c>
      <c r="G153" s="565">
        <f>G154</f>
        <v>87.12</v>
      </c>
      <c r="H153" s="114">
        <f t="shared" si="5"/>
        <v>100</v>
      </c>
      <c r="I153" s="132"/>
      <c r="J153" s="132"/>
      <c r="K153" s="132"/>
    </row>
    <row r="154" spans="1:11" s="131" customFormat="1" ht="78.75" x14ac:dyDescent="0.25">
      <c r="A154" s="335" t="s">
        <v>84</v>
      </c>
      <c r="B154" s="334" t="s">
        <v>81</v>
      </c>
      <c r="C154" s="334" t="s">
        <v>83</v>
      </c>
      <c r="D154" s="334" t="s">
        <v>768</v>
      </c>
      <c r="E154" s="334" t="s">
        <v>85</v>
      </c>
      <c r="F154" s="342">
        <f>F155</f>
        <v>87.12</v>
      </c>
      <c r="G154" s="565">
        <f>G155</f>
        <v>87.12</v>
      </c>
      <c r="H154" s="114">
        <f t="shared" si="5"/>
        <v>100</v>
      </c>
      <c r="I154" s="132"/>
      <c r="J154" s="132"/>
      <c r="K154" s="132"/>
    </row>
    <row r="155" spans="1:11" s="131" customFormat="1" ht="31.5" x14ac:dyDescent="0.25">
      <c r="A155" s="335" t="s">
        <v>86</v>
      </c>
      <c r="B155" s="334" t="s">
        <v>81</v>
      </c>
      <c r="C155" s="334" t="s">
        <v>83</v>
      </c>
      <c r="D155" s="334" t="s">
        <v>768</v>
      </c>
      <c r="E155" s="334" t="s">
        <v>87</v>
      </c>
      <c r="F155" s="342">
        <f>'Пр.4 Ведом23'!G654</f>
        <v>87.12</v>
      </c>
      <c r="G155" s="565">
        <f>'Пр.4 Ведом23'!H654</f>
        <v>87.12</v>
      </c>
      <c r="H155" s="114">
        <f t="shared" si="5"/>
        <v>100</v>
      </c>
      <c r="I155" s="132"/>
      <c r="J155" s="132"/>
      <c r="K155" s="132"/>
    </row>
    <row r="156" spans="1:11" s="332" customFormat="1" ht="47.25" x14ac:dyDescent="0.25">
      <c r="A156" s="335" t="s">
        <v>1107</v>
      </c>
      <c r="B156" s="334" t="s">
        <v>81</v>
      </c>
      <c r="C156" s="334" t="s">
        <v>83</v>
      </c>
      <c r="D156" s="334" t="s">
        <v>1112</v>
      </c>
      <c r="E156" s="334"/>
      <c r="F156" s="342">
        <f>F157</f>
        <v>36.121760000000002</v>
      </c>
      <c r="G156" s="565">
        <f>G157</f>
        <v>36.121760000000002</v>
      </c>
      <c r="H156" s="114">
        <f t="shared" si="5"/>
        <v>100</v>
      </c>
      <c r="I156" s="333"/>
      <c r="J156" s="333"/>
      <c r="K156" s="333"/>
    </row>
    <row r="157" spans="1:11" s="332" customFormat="1" ht="63" customHeight="1" x14ac:dyDescent="0.25">
      <c r="A157" s="335" t="s">
        <v>84</v>
      </c>
      <c r="B157" s="334" t="s">
        <v>81</v>
      </c>
      <c r="C157" s="334" t="s">
        <v>83</v>
      </c>
      <c r="D157" s="334" t="s">
        <v>1112</v>
      </c>
      <c r="E157" s="334" t="s">
        <v>85</v>
      </c>
      <c r="F157" s="342">
        <f>F158</f>
        <v>36.121760000000002</v>
      </c>
      <c r="G157" s="565">
        <f>G158</f>
        <v>36.121760000000002</v>
      </c>
      <c r="H157" s="114">
        <f t="shared" si="5"/>
        <v>100</v>
      </c>
      <c r="I157" s="333"/>
      <c r="J157" s="333"/>
      <c r="K157" s="333"/>
    </row>
    <row r="158" spans="1:11" s="332" customFormat="1" ht="50.25" customHeight="1" x14ac:dyDescent="0.25">
      <c r="A158" s="335" t="s">
        <v>86</v>
      </c>
      <c r="B158" s="334" t="s">
        <v>81</v>
      </c>
      <c r="C158" s="334" t="s">
        <v>83</v>
      </c>
      <c r="D158" s="334" t="s">
        <v>1112</v>
      </c>
      <c r="E158" s="334" t="s">
        <v>87</v>
      </c>
      <c r="F158" s="342">
        <f>'Пр.4 Ведом23'!G657</f>
        <v>36.121760000000002</v>
      </c>
      <c r="G158" s="565">
        <f>'Пр.4 Ведом23'!H657</f>
        <v>36.121760000000002</v>
      </c>
      <c r="H158" s="114">
        <f t="shared" si="5"/>
        <v>100</v>
      </c>
      <c r="I158" s="333"/>
      <c r="J158" s="333"/>
      <c r="K158" s="333"/>
    </row>
    <row r="159" spans="1:11" s="131" customFormat="1" ht="31.5" hidden="1" customHeight="1" x14ac:dyDescent="0.25">
      <c r="A159" s="116" t="s">
        <v>873</v>
      </c>
      <c r="B159" s="117" t="s">
        <v>81</v>
      </c>
      <c r="C159" s="117" t="s">
        <v>145</v>
      </c>
      <c r="D159" s="117"/>
      <c r="E159" s="334"/>
      <c r="F159" s="343">
        <f t="shared" ref="F159:G161" si="6">F160</f>
        <v>0</v>
      </c>
      <c r="G159" s="566">
        <f t="shared" si="6"/>
        <v>0</v>
      </c>
      <c r="H159" s="114" t="e">
        <f t="shared" si="5"/>
        <v>#DIV/0!</v>
      </c>
      <c r="I159" s="132"/>
      <c r="J159" s="132"/>
      <c r="K159" s="132"/>
    </row>
    <row r="160" spans="1:11" s="131" customFormat="1" ht="15.75" hidden="1" customHeight="1" x14ac:dyDescent="0.25">
      <c r="A160" s="116" t="s">
        <v>97</v>
      </c>
      <c r="B160" s="117" t="s">
        <v>81</v>
      </c>
      <c r="C160" s="117" t="s">
        <v>145</v>
      </c>
      <c r="D160" s="117" t="s">
        <v>329</v>
      </c>
      <c r="E160" s="334"/>
      <c r="F160" s="343">
        <f t="shared" si="6"/>
        <v>0</v>
      </c>
      <c r="G160" s="566">
        <f t="shared" si="6"/>
        <v>0</v>
      </c>
      <c r="H160" s="114" t="e">
        <f t="shared" si="5"/>
        <v>#DIV/0!</v>
      </c>
      <c r="I160" s="132"/>
      <c r="J160" s="132"/>
      <c r="K160" s="132"/>
    </row>
    <row r="161" spans="1:11" s="131" customFormat="1" ht="31.5" hidden="1" customHeight="1" x14ac:dyDescent="0.25">
      <c r="A161" s="116" t="s">
        <v>330</v>
      </c>
      <c r="B161" s="117" t="s">
        <v>81</v>
      </c>
      <c r="C161" s="117" t="s">
        <v>145</v>
      </c>
      <c r="D161" s="117" t="s">
        <v>328</v>
      </c>
      <c r="E161" s="334"/>
      <c r="F161" s="343">
        <f t="shared" si="6"/>
        <v>0</v>
      </c>
      <c r="G161" s="566">
        <f t="shared" si="6"/>
        <v>0</v>
      </c>
      <c r="H161" s="114" t="e">
        <f t="shared" si="5"/>
        <v>#DIV/0!</v>
      </c>
      <c r="I161" s="132"/>
      <c r="J161" s="132"/>
      <c r="K161" s="132"/>
    </row>
    <row r="162" spans="1:11" s="131" customFormat="1" ht="15.75" hidden="1" customHeight="1" x14ac:dyDescent="0.25">
      <c r="A162" s="26" t="s">
        <v>115</v>
      </c>
      <c r="B162" s="334" t="s">
        <v>81</v>
      </c>
      <c r="C162" s="334" t="s">
        <v>145</v>
      </c>
      <c r="D162" s="334" t="s">
        <v>543</v>
      </c>
      <c r="E162" s="334"/>
      <c r="F162" s="342">
        <f>F163+F165</f>
        <v>0</v>
      </c>
      <c r="G162" s="565">
        <f>G163+G165</f>
        <v>0</v>
      </c>
      <c r="H162" s="114" t="e">
        <f t="shared" si="5"/>
        <v>#DIV/0!</v>
      </c>
      <c r="I162" s="132"/>
      <c r="J162" s="132"/>
      <c r="K162" s="132"/>
    </row>
    <row r="163" spans="1:11" s="131" customFormat="1" ht="78.75" hidden="1" customHeight="1" x14ac:dyDescent="0.25">
      <c r="A163" s="335" t="s">
        <v>84</v>
      </c>
      <c r="B163" s="334" t="s">
        <v>81</v>
      </c>
      <c r="C163" s="334" t="s">
        <v>145</v>
      </c>
      <c r="D163" s="334" t="s">
        <v>543</v>
      </c>
      <c r="E163" s="334" t="s">
        <v>85</v>
      </c>
      <c r="F163" s="342">
        <f>F164</f>
        <v>0</v>
      </c>
      <c r="G163" s="565">
        <f>G164</f>
        <v>0</v>
      </c>
      <c r="H163" s="114" t="e">
        <f t="shared" si="5"/>
        <v>#DIV/0!</v>
      </c>
      <c r="I163" s="132"/>
      <c r="J163" s="132"/>
      <c r="K163" s="132"/>
    </row>
    <row r="164" spans="1:11" s="131" customFormat="1" ht="31.5" hidden="1" customHeight="1" x14ac:dyDescent="0.25">
      <c r="A164" s="335" t="s">
        <v>86</v>
      </c>
      <c r="B164" s="334" t="s">
        <v>81</v>
      </c>
      <c r="C164" s="334" t="s">
        <v>145</v>
      </c>
      <c r="D164" s="334" t="s">
        <v>543</v>
      </c>
      <c r="E164" s="334" t="s">
        <v>87</v>
      </c>
      <c r="F164" s="342">
        <f>'Пр.4 Ведом23'!G148</f>
        <v>0</v>
      </c>
      <c r="G164" s="565">
        <f>'Пр.4 Ведом23'!H148</f>
        <v>0</v>
      </c>
      <c r="H164" s="114" t="e">
        <f t="shared" si="5"/>
        <v>#DIV/0!</v>
      </c>
      <c r="I164" s="132"/>
      <c r="J164" s="132"/>
      <c r="K164" s="132"/>
    </row>
    <row r="165" spans="1:11" s="75" customFormat="1" ht="31.5" hidden="1" customHeight="1" x14ac:dyDescent="0.25">
      <c r="A165" s="335" t="s">
        <v>114</v>
      </c>
      <c r="B165" s="334" t="s">
        <v>81</v>
      </c>
      <c r="C165" s="334" t="s">
        <v>145</v>
      </c>
      <c r="D165" s="334" t="s">
        <v>543</v>
      </c>
      <c r="E165" s="334" t="s">
        <v>89</v>
      </c>
      <c r="F165" s="338">
        <f>F166</f>
        <v>0</v>
      </c>
      <c r="G165" s="338">
        <f>G166</f>
        <v>0</v>
      </c>
      <c r="H165" s="114" t="e">
        <f t="shared" si="5"/>
        <v>#DIV/0!</v>
      </c>
      <c r="I165" s="132"/>
      <c r="J165" s="132"/>
      <c r="K165" s="132"/>
    </row>
    <row r="166" spans="1:11" s="75" customFormat="1" ht="31.5" hidden="1" customHeight="1" x14ac:dyDescent="0.25">
      <c r="A166" s="335" t="s">
        <v>90</v>
      </c>
      <c r="B166" s="334" t="s">
        <v>81</v>
      </c>
      <c r="C166" s="334" t="s">
        <v>145</v>
      </c>
      <c r="D166" s="334" t="s">
        <v>543</v>
      </c>
      <c r="E166" s="334" t="s">
        <v>91</v>
      </c>
      <c r="F166" s="337">
        <f>'Пр.4 Ведом23'!G150</f>
        <v>0</v>
      </c>
      <c r="G166" s="337">
        <f>'Пр.4 Ведом23'!H150</f>
        <v>0</v>
      </c>
      <c r="H166" s="114" t="e">
        <f t="shared" si="5"/>
        <v>#DIV/0!</v>
      </c>
      <c r="I166" s="132"/>
      <c r="J166" s="132"/>
      <c r="K166" s="132"/>
    </row>
    <row r="167" spans="1:11" s="75" customFormat="1" ht="15.75" x14ac:dyDescent="0.25">
      <c r="A167" s="116" t="s">
        <v>651</v>
      </c>
      <c r="B167" s="117" t="s">
        <v>81</v>
      </c>
      <c r="C167" s="117" t="s">
        <v>197</v>
      </c>
      <c r="D167" s="117"/>
      <c r="E167" s="117"/>
      <c r="F167" s="338">
        <f t="shared" ref="F167:G171" si="7">F168</f>
        <v>264.62720000000002</v>
      </c>
      <c r="G167" s="338">
        <f t="shared" si="7"/>
        <v>0</v>
      </c>
      <c r="H167" s="113">
        <f t="shared" si="5"/>
        <v>0</v>
      </c>
      <c r="I167" s="132"/>
      <c r="J167" s="132"/>
      <c r="K167" s="132"/>
    </row>
    <row r="168" spans="1:11" s="75" customFormat="1" ht="15.75" x14ac:dyDescent="0.25">
      <c r="A168" s="116" t="s">
        <v>97</v>
      </c>
      <c r="B168" s="117" t="s">
        <v>81</v>
      </c>
      <c r="C168" s="117" t="s">
        <v>197</v>
      </c>
      <c r="D168" s="117" t="s">
        <v>329</v>
      </c>
      <c r="E168" s="117"/>
      <c r="F168" s="338">
        <f t="shared" si="7"/>
        <v>264.62720000000002</v>
      </c>
      <c r="G168" s="338">
        <f t="shared" si="7"/>
        <v>0</v>
      </c>
      <c r="H168" s="113">
        <f t="shared" si="5"/>
        <v>0</v>
      </c>
      <c r="I168" s="132"/>
      <c r="J168" s="132"/>
      <c r="K168" s="132"/>
    </row>
    <row r="169" spans="1:11" s="75" customFormat="1" ht="31.5" x14ac:dyDescent="0.25">
      <c r="A169" s="116" t="s">
        <v>330</v>
      </c>
      <c r="B169" s="117" t="s">
        <v>81</v>
      </c>
      <c r="C169" s="117" t="s">
        <v>197</v>
      </c>
      <c r="D169" s="117" t="s">
        <v>328</v>
      </c>
      <c r="E169" s="117"/>
      <c r="F169" s="338">
        <f t="shared" si="7"/>
        <v>264.62720000000002</v>
      </c>
      <c r="G169" s="338">
        <f t="shared" si="7"/>
        <v>0</v>
      </c>
      <c r="H169" s="113">
        <f t="shared" si="5"/>
        <v>0</v>
      </c>
      <c r="I169" s="132"/>
      <c r="J169" s="132"/>
      <c r="K169" s="132"/>
    </row>
    <row r="170" spans="1:11" s="75" customFormat="1" ht="15.75" x14ac:dyDescent="0.25">
      <c r="A170" s="335" t="s">
        <v>536</v>
      </c>
      <c r="B170" s="334" t="s">
        <v>81</v>
      </c>
      <c r="C170" s="334" t="s">
        <v>197</v>
      </c>
      <c r="D170" s="334" t="s">
        <v>537</v>
      </c>
      <c r="E170" s="334"/>
      <c r="F170" s="337">
        <f t="shared" si="7"/>
        <v>264.62720000000002</v>
      </c>
      <c r="G170" s="337">
        <f t="shared" si="7"/>
        <v>0</v>
      </c>
      <c r="H170" s="114">
        <f t="shared" si="5"/>
        <v>0</v>
      </c>
      <c r="I170" s="132"/>
      <c r="J170" s="132"/>
      <c r="K170" s="132"/>
    </row>
    <row r="171" spans="1:11" s="75" customFormat="1" ht="15.75" x14ac:dyDescent="0.25">
      <c r="A171" s="335" t="s">
        <v>92</v>
      </c>
      <c r="B171" s="334" t="s">
        <v>81</v>
      </c>
      <c r="C171" s="334" t="s">
        <v>197</v>
      </c>
      <c r="D171" s="334" t="s">
        <v>537</v>
      </c>
      <c r="E171" s="334" t="s">
        <v>98</v>
      </c>
      <c r="F171" s="337">
        <f t="shared" si="7"/>
        <v>264.62720000000002</v>
      </c>
      <c r="G171" s="337">
        <f t="shared" si="7"/>
        <v>0</v>
      </c>
      <c r="H171" s="114">
        <f t="shared" si="5"/>
        <v>0</v>
      </c>
      <c r="I171" s="132"/>
      <c r="J171" s="132"/>
      <c r="K171" s="132"/>
    </row>
    <row r="172" spans="1:11" s="75" customFormat="1" ht="15.75" x14ac:dyDescent="0.25">
      <c r="A172" s="335" t="s">
        <v>536</v>
      </c>
      <c r="B172" s="334" t="s">
        <v>81</v>
      </c>
      <c r="C172" s="334" t="s">
        <v>197</v>
      </c>
      <c r="D172" s="334" t="s">
        <v>537</v>
      </c>
      <c r="E172" s="334" t="s">
        <v>538</v>
      </c>
      <c r="F172" s="337">
        <f>'Пр.4 Ведом23'!G37</f>
        <v>264.62720000000002</v>
      </c>
      <c r="G172" s="337">
        <f>'Пр.4 Ведом23'!H37</f>
        <v>0</v>
      </c>
      <c r="H172" s="114">
        <f t="shared" si="5"/>
        <v>0</v>
      </c>
      <c r="I172" s="132"/>
      <c r="J172" s="132"/>
      <c r="K172" s="132"/>
    </row>
    <row r="173" spans="1:11" s="75" customFormat="1" ht="15.75" x14ac:dyDescent="0.25">
      <c r="A173" s="116" t="s">
        <v>95</v>
      </c>
      <c r="B173" s="117" t="s">
        <v>81</v>
      </c>
      <c r="C173" s="117" t="s">
        <v>96</v>
      </c>
      <c r="D173" s="117"/>
      <c r="E173" s="117"/>
      <c r="F173" s="338">
        <f>F174+F215+F229+F233+F250+F259+F264+F271</f>
        <v>92070.963119999986</v>
      </c>
      <c r="G173" s="338">
        <f>G174+G215+G229+G233+G250+G259+G264+G271</f>
        <v>91866.410520000005</v>
      </c>
      <c r="H173" s="113">
        <f t="shared" si="5"/>
        <v>99.77783158439064</v>
      </c>
      <c r="I173" s="132"/>
      <c r="J173" s="132"/>
      <c r="K173" s="132"/>
    </row>
    <row r="174" spans="1:11" s="75" customFormat="1" ht="15.75" x14ac:dyDescent="0.25">
      <c r="A174" s="116" t="s">
        <v>97</v>
      </c>
      <c r="B174" s="117" t="s">
        <v>81</v>
      </c>
      <c r="C174" s="117" t="s">
        <v>96</v>
      </c>
      <c r="D174" s="117" t="s">
        <v>329</v>
      </c>
      <c r="E174" s="117"/>
      <c r="F174" s="338">
        <f>F175+F196</f>
        <v>91312.381079999992</v>
      </c>
      <c r="G174" s="338">
        <f>G175+G196</f>
        <v>91107.828479999996</v>
      </c>
      <c r="H174" s="113">
        <f t="shared" si="5"/>
        <v>99.775985909489322</v>
      </c>
      <c r="I174" s="132"/>
      <c r="J174" s="132"/>
      <c r="K174" s="132"/>
    </row>
    <row r="175" spans="1:11" s="131" customFormat="1" ht="15.75" x14ac:dyDescent="0.25">
      <c r="A175" s="116" t="s">
        <v>385</v>
      </c>
      <c r="B175" s="117" t="s">
        <v>81</v>
      </c>
      <c r="C175" s="117" t="s">
        <v>96</v>
      </c>
      <c r="D175" s="117" t="s">
        <v>384</v>
      </c>
      <c r="E175" s="117"/>
      <c r="F175" s="338">
        <f>F176+F179+F187+F193+F190</f>
        <v>66120.668049999993</v>
      </c>
      <c r="G175" s="338">
        <f>G176+G179+G187+G193+G190</f>
        <v>65916.115449999998</v>
      </c>
      <c r="H175" s="113">
        <f t="shared" si="5"/>
        <v>99.690637426945969</v>
      </c>
      <c r="I175" s="214"/>
      <c r="J175" s="214"/>
      <c r="K175" s="214"/>
    </row>
    <row r="176" spans="1:11" s="131" customFormat="1" ht="47.25" x14ac:dyDescent="0.25">
      <c r="A176" s="335" t="s">
        <v>304</v>
      </c>
      <c r="B176" s="334" t="s">
        <v>81</v>
      </c>
      <c r="C176" s="334" t="s">
        <v>96</v>
      </c>
      <c r="D176" s="334" t="s">
        <v>387</v>
      </c>
      <c r="E176" s="334"/>
      <c r="F176" s="337">
        <f>F177</f>
        <v>446.89514999999989</v>
      </c>
      <c r="G176" s="337">
        <f>G177</f>
        <v>446.89515</v>
      </c>
      <c r="H176" s="114">
        <f t="shared" si="5"/>
        <v>100.00000000000003</v>
      </c>
      <c r="I176" s="214"/>
      <c r="J176" s="214"/>
      <c r="K176" s="214"/>
    </row>
    <row r="177" spans="1:11" s="131" customFormat="1" ht="78.75" x14ac:dyDescent="0.25">
      <c r="A177" s="335" t="s">
        <v>84</v>
      </c>
      <c r="B177" s="334" t="s">
        <v>81</v>
      </c>
      <c r="C177" s="334" t="s">
        <v>96</v>
      </c>
      <c r="D177" s="334" t="s">
        <v>387</v>
      </c>
      <c r="E177" s="334" t="s">
        <v>85</v>
      </c>
      <c r="F177" s="337">
        <f>F178</f>
        <v>446.89514999999989</v>
      </c>
      <c r="G177" s="337">
        <f>G178</f>
        <v>446.89515</v>
      </c>
      <c r="H177" s="114">
        <f t="shared" si="5"/>
        <v>100.00000000000003</v>
      </c>
      <c r="I177" s="214"/>
      <c r="J177" s="214"/>
      <c r="K177" s="214"/>
    </row>
    <row r="178" spans="1:11" s="131" customFormat="1" ht="31.5" x14ac:dyDescent="0.25">
      <c r="A178" s="335" t="s">
        <v>86</v>
      </c>
      <c r="B178" s="334" t="s">
        <v>81</v>
      </c>
      <c r="C178" s="334" t="s">
        <v>96</v>
      </c>
      <c r="D178" s="334" t="s">
        <v>387</v>
      </c>
      <c r="E178" s="334" t="s">
        <v>117</v>
      </c>
      <c r="F178" s="337">
        <f>'Пр.4 Ведом23'!G1100</f>
        <v>446.89514999999989</v>
      </c>
      <c r="G178" s="337">
        <f>'Пр.4 Ведом23'!H1100</f>
        <v>446.89515</v>
      </c>
      <c r="H178" s="114">
        <f t="shared" si="5"/>
        <v>100.00000000000003</v>
      </c>
      <c r="I178" s="214"/>
      <c r="J178" s="214"/>
      <c r="K178" s="214"/>
    </row>
    <row r="179" spans="1:11" s="131" customFormat="1" ht="15.75" x14ac:dyDescent="0.25">
      <c r="A179" s="335" t="s">
        <v>283</v>
      </c>
      <c r="B179" s="334" t="s">
        <v>81</v>
      </c>
      <c r="C179" s="334" t="s">
        <v>96</v>
      </c>
      <c r="D179" s="334" t="s">
        <v>386</v>
      </c>
      <c r="E179" s="334"/>
      <c r="F179" s="337">
        <f>F180+F182+F184</f>
        <v>64807.16483999999</v>
      </c>
      <c r="G179" s="337">
        <f>G180+G182+G184</f>
        <v>64602.612240000002</v>
      </c>
      <c r="H179" s="114">
        <f t="shared" si="5"/>
        <v>99.684367306446759</v>
      </c>
      <c r="I179" s="214"/>
      <c r="J179" s="214"/>
      <c r="K179" s="214"/>
    </row>
    <row r="180" spans="1:11" s="131" customFormat="1" ht="78.75" x14ac:dyDescent="0.25">
      <c r="A180" s="335" t="s">
        <v>84</v>
      </c>
      <c r="B180" s="334" t="s">
        <v>81</v>
      </c>
      <c r="C180" s="334" t="s">
        <v>96</v>
      </c>
      <c r="D180" s="334" t="s">
        <v>386</v>
      </c>
      <c r="E180" s="334" t="s">
        <v>85</v>
      </c>
      <c r="F180" s="337">
        <f>F181</f>
        <v>44442.718949999995</v>
      </c>
      <c r="G180" s="337">
        <f>G181</f>
        <v>44319.706160000002</v>
      </c>
      <c r="H180" s="114">
        <f t="shared" si="5"/>
        <v>99.723210476527342</v>
      </c>
      <c r="I180" s="214"/>
      <c r="J180" s="214"/>
      <c r="K180" s="214"/>
    </row>
    <row r="181" spans="1:11" s="131" customFormat="1" ht="31.5" x14ac:dyDescent="0.25">
      <c r="A181" s="336" t="s">
        <v>168</v>
      </c>
      <c r="B181" s="334" t="s">
        <v>81</v>
      </c>
      <c r="C181" s="334" t="s">
        <v>96</v>
      </c>
      <c r="D181" s="334" t="s">
        <v>386</v>
      </c>
      <c r="E181" s="334" t="s">
        <v>117</v>
      </c>
      <c r="F181" s="337">
        <f>'Пр.4 Ведом23'!G1103</f>
        <v>44442.718949999995</v>
      </c>
      <c r="G181" s="337">
        <f>'Пр.4 Ведом23'!H1103</f>
        <v>44319.706160000002</v>
      </c>
      <c r="H181" s="114">
        <f t="shared" si="5"/>
        <v>99.723210476527342</v>
      </c>
      <c r="I181" s="214"/>
      <c r="J181" s="214"/>
      <c r="K181" s="214"/>
    </row>
    <row r="182" spans="1:11" s="131" customFormat="1" ht="31.5" x14ac:dyDescent="0.25">
      <c r="A182" s="335" t="s">
        <v>88</v>
      </c>
      <c r="B182" s="334" t="s">
        <v>81</v>
      </c>
      <c r="C182" s="334" t="s">
        <v>96</v>
      </c>
      <c r="D182" s="334" t="s">
        <v>386</v>
      </c>
      <c r="E182" s="334" t="s">
        <v>89</v>
      </c>
      <c r="F182" s="337">
        <f>F183</f>
        <v>19489.191889999995</v>
      </c>
      <c r="G182" s="337">
        <f>G183</f>
        <v>19407.65208</v>
      </c>
      <c r="H182" s="114">
        <f t="shared" si="5"/>
        <v>99.581615233406197</v>
      </c>
      <c r="I182" s="214"/>
      <c r="J182" s="214"/>
      <c r="K182" s="214"/>
    </row>
    <row r="183" spans="1:11" s="131" customFormat="1" ht="31.5" customHeight="1" x14ac:dyDescent="0.25">
      <c r="A183" s="335" t="s">
        <v>90</v>
      </c>
      <c r="B183" s="334" t="s">
        <v>81</v>
      </c>
      <c r="C183" s="334" t="s">
        <v>96</v>
      </c>
      <c r="D183" s="334" t="s">
        <v>386</v>
      </c>
      <c r="E183" s="334" t="s">
        <v>91</v>
      </c>
      <c r="F183" s="337">
        <f>'Пр.4 Ведом23'!G1105</f>
        <v>19489.191889999995</v>
      </c>
      <c r="G183" s="337">
        <f>'Пр.4 Ведом23'!H1105</f>
        <v>19407.65208</v>
      </c>
      <c r="H183" s="114">
        <f t="shared" si="5"/>
        <v>99.581615233406197</v>
      </c>
      <c r="I183" s="214"/>
      <c r="J183" s="214"/>
      <c r="K183" s="214"/>
    </row>
    <row r="184" spans="1:11" s="131" customFormat="1" ht="15.75" x14ac:dyDescent="0.25">
      <c r="A184" s="335" t="s">
        <v>92</v>
      </c>
      <c r="B184" s="334" t="s">
        <v>81</v>
      </c>
      <c r="C184" s="334" t="s">
        <v>96</v>
      </c>
      <c r="D184" s="334" t="s">
        <v>386</v>
      </c>
      <c r="E184" s="334" t="s">
        <v>98</v>
      </c>
      <c r="F184" s="337">
        <f>F185+F186</f>
        <v>875.25400000000002</v>
      </c>
      <c r="G184" s="337">
        <f>G185+G186</f>
        <v>875.25400000000002</v>
      </c>
      <c r="H184" s="114">
        <f t="shared" si="5"/>
        <v>100</v>
      </c>
      <c r="I184" s="214"/>
      <c r="J184" s="214"/>
      <c r="K184" s="214"/>
    </row>
    <row r="185" spans="1:11" s="131" customFormat="1" ht="15.75" hidden="1" customHeight="1" x14ac:dyDescent="0.25">
      <c r="A185" s="335" t="s">
        <v>99</v>
      </c>
      <c r="B185" s="334" t="s">
        <v>81</v>
      </c>
      <c r="C185" s="334" t="s">
        <v>96</v>
      </c>
      <c r="D185" s="334" t="s">
        <v>386</v>
      </c>
      <c r="E185" s="334" t="s">
        <v>100</v>
      </c>
      <c r="F185" s="337">
        <f>'Пр.4 Ведом23'!G1107</f>
        <v>0</v>
      </c>
      <c r="G185" s="337">
        <f>'Пр.4 Ведом23'!H1107</f>
        <v>0</v>
      </c>
      <c r="H185" s="114" t="e">
        <f t="shared" si="5"/>
        <v>#DIV/0!</v>
      </c>
      <c r="I185" s="214"/>
      <c r="J185" s="214"/>
      <c r="K185" s="214"/>
    </row>
    <row r="186" spans="1:11" s="131" customFormat="1" ht="15.75" x14ac:dyDescent="0.25">
      <c r="A186" s="335" t="s">
        <v>258</v>
      </c>
      <c r="B186" s="334" t="s">
        <v>81</v>
      </c>
      <c r="C186" s="334" t="s">
        <v>96</v>
      </c>
      <c r="D186" s="334" t="s">
        <v>386</v>
      </c>
      <c r="E186" s="334" t="s">
        <v>94</v>
      </c>
      <c r="F186" s="337">
        <f>'Пр.4 Ведом23'!G1108</f>
        <v>875.25400000000002</v>
      </c>
      <c r="G186" s="337">
        <f>'Пр.4 Ведом23'!H1108</f>
        <v>875.25400000000002</v>
      </c>
      <c r="H186" s="114">
        <f t="shared" si="5"/>
        <v>100</v>
      </c>
      <c r="I186" s="214"/>
      <c r="J186" s="214"/>
      <c r="K186" s="214"/>
    </row>
    <row r="187" spans="1:11" s="332" customFormat="1" ht="31.5" x14ac:dyDescent="0.25">
      <c r="A187" s="335" t="s">
        <v>1085</v>
      </c>
      <c r="B187" s="334" t="s">
        <v>81</v>
      </c>
      <c r="C187" s="334" t="s">
        <v>96</v>
      </c>
      <c r="D187" s="334" t="s">
        <v>1083</v>
      </c>
      <c r="E187" s="334"/>
      <c r="F187" s="337">
        <f>F188</f>
        <v>78.12</v>
      </c>
      <c r="G187" s="337">
        <f>G188</f>
        <v>78.12</v>
      </c>
      <c r="H187" s="114">
        <f t="shared" si="5"/>
        <v>100</v>
      </c>
      <c r="I187" s="333"/>
      <c r="J187" s="333"/>
      <c r="K187" s="333"/>
    </row>
    <row r="188" spans="1:11" s="332" customFormat="1" ht="78.75" x14ac:dyDescent="0.25">
      <c r="A188" s="335" t="s">
        <v>84</v>
      </c>
      <c r="B188" s="334" t="s">
        <v>81</v>
      </c>
      <c r="C188" s="334" t="s">
        <v>96</v>
      </c>
      <c r="D188" s="334" t="s">
        <v>1083</v>
      </c>
      <c r="E188" s="334" t="s">
        <v>85</v>
      </c>
      <c r="F188" s="337">
        <f>F189</f>
        <v>78.12</v>
      </c>
      <c r="G188" s="337">
        <f>G189</f>
        <v>78.12</v>
      </c>
      <c r="H188" s="114">
        <f t="shared" si="5"/>
        <v>100</v>
      </c>
      <c r="I188" s="333"/>
      <c r="J188" s="333"/>
      <c r="K188" s="333"/>
    </row>
    <row r="189" spans="1:11" s="332" customFormat="1" ht="31.5" x14ac:dyDescent="0.25">
      <c r="A189" s="335" t="s">
        <v>168</v>
      </c>
      <c r="B189" s="334" t="s">
        <v>81</v>
      </c>
      <c r="C189" s="334" t="s">
        <v>96</v>
      </c>
      <c r="D189" s="334" t="s">
        <v>1083</v>
      </c>
      <c r="E189" s="334" t="s">
        <v>117</v>
      </c>
      <c r="F189" s="337">
        <f>'Пр.4 Ведом23'!G1111</f>
        <v>78.12</v>
      </c>
      <c r="G189" s="337">
        <f>'Пр.4 Ведом23'!H1111</f>
        <v>78.12</v>
      </c>
      <c r="H189" s="114">
        <f t="shared" si="5"/>
        <v>100</v>
      </c>
      <c r="I189" s="333"/>
      <c r="J189" s="333"/>
      <c r="K189" s="333"/>
    </row>
    <row r="190" spans="1:11" s="332" customFormat="1" ht="31.5" x14ac:dyDescent="0.25">
      <c r="A190" s="335" t="s">
        <v>1118</v>
      </c>
      <c r="B190" s="334" t="s">
        <v>81</v>
      </c>
      <c r="C190" s="334" t="s">
        <v>96</v>
      </c>
      <c r="D190" s="334" t="s">
        <v>1119</v>
      </c>
      <c r="E190" s="334"/>
      <c r="F190" s="337">
        <f>F191</f>
        <v>758.79</v>
      </c>
      <c r="G190" s="337">
        <f>G191</f>
        <v>758.79</v>
      </c>
      <c r="H190" s="114">
        <f t="shared" si="5"/>
        <v>100</v>
      </c>
      <c r="I190" s="333"/>
      <c r="J190" s="333"/>
      <c r="K190" s="333"/>
    </row>
    <row r="191" spans="1:11" s="332" customFormat="1" ht="86.25" customHeight="1" x14ac:dyDescent="0.25">
      <c r="A191" s="335" t="s">
        <v>84</v>
      </c>
      <c r="B191" s="334" t="s">
        <v>1124</v>
      </c>
      <c r="C191" s="334" t="s">
        <v>96</v>
      </c>
      <c r="D191" s="334" t="s">
        <v>1119</v>
      </c>
      <c r="E191" s="334" t="s">
        <v>85</v>
      </c>
      <c r="F191" s="337">
        <f>F192</f>
        <v>758.79</v>
      </c>
      <c r="G191" s="337">
        <f>G192</f>
        <v>758.79</v>
      </c>
      <c r="H191" s="114">
        <f t="shared" si="5"/>
        <v>100</v>
      </c>
      <c r="I191" s="333"/>
      <c r="J191" s="333"/>
      <c r="K191" s="333"/>
    </row>
    <row r="192" spans="1:11" s="332" customFormat="1" ht="31.5" x14ac:dyDescent="0.25">
      <c r="A192" s="335" t="s">
        <v>168</v>
      </c>
      <c r="B192" s="334" t="s">
        <v>81</v>
      </c>
      <c r="C192" s="334" t="s">
        <v>96</v>
      </c>
      <c r="D192" s="334" t="s">
        <v>1119</v>
      </c>
      <c r="E192" s="334" t="s">
        <v>117</v>
      </c>
      <c r="F192" s="337">
        <f>'Пр.4 Ведом23'!G1114</f>
        <v>758.79</v>
      </c>
      <c r="G192" s="337">
        <f>'Пр.4 Ведом23'!H1114</f>
        <v>758.79</v>
      </c>
      <c r="H192" s="114">
        <f t="shared" si="5"/>
        <v>100</v>
      </c>
      <c r="I192" s="333"/>
      <c r="J192" s="333"/>
      <c r="K192" s="333"/>
    </row>
    <row r="193" spans="1:11" s="332" customFormat="1" ht="54" customHeight="1" x14ac:dyDescent="0.25">
      <c r="A193" s="335" t="s">
        <v>1107</v>
      </c>
      <c r="B193" s="334" t="s">
        <v>81</v>
      </c>
      <c r="C193" s="334" t="s">
        <v>96</v>
      </c>
      <c r="D193" s="334" t="s">
        <v>1114</v>
      </c>
      <c r="E193" s="334"/>
      <c r="F193" s="337">
        <f>F194</f>
        <v>29.698060000000002</v>
      </c>
      <c r="G193" s="337">
        <f>G194</f>
        <v>29.698060000000002</v>
      </c>
      <c r="H193" s="114">
        <f t="shared" si="5"/>
        <v>100</v>
      </c>
      <c r="I193" s="333"/>
      <c r="J193" s="333"/>
      <c r="K193" s="333"/>
    </row>
    <row r="194" spans="1:11" s="332" customFormat="1" ht="87.75" customHeight="1" x14ac:dyDescent="0.25">
      <c r="A194" s="335" t="s">
        <v>84</v>
      </c>
      <c r="B194" s="334" t="s">
        <v>81</v>
      </c>
      <c r="C194" s="334" t="s">
        <v>96</v>
      </c>
      <c r="D194" s="334" t="s">
        <v>1114</v>
      </c>
      <c r="E194" s="334" t="s">
        <v>85</v>
      </c>
      <c r="F194" s="337">
        <f>F195</f>
        <v>29.698060000000002</v>
      </c>
      <c r="G194" s="337">
        <f>G195</f>
        <v>29.698060000000002</v>
      </c>
      <c r="H194" s="114">
        <f t="shared" si="5"/>
        <v>100</v>
      </c>
      <c r="I194" s="333"/>
      <c r="J194" s="333"/>
      <c r="K194" s="333"/>
    </row>
    <row r="195" spans="1:11" s="332" customFormat="1" ht="31.5" x14ac:dyDescent="0.25">
      <c r="A195" s="335" t="s">
        <v>168</v>
      </c>
      <c r="B195" s="334" t="s">
        <v>81</v>
      </c>
      <c r="C195" s="334" t="s">
        <v>96</v>
      </c>
      <c r="D195" s="334" t="s">
        <v>1114</v>
      </c>
      <c r="E195" s="334" t="s">
        <v>117</v>
      </c>
      <c r="F195" s="337">
        <f>'Пр.4 Ведом23'!G1117</f>
        <v>29.698060000000002</v>
      </c>
      <c r="G195" s="337">
        <f>'Пр.4 Ведом23'!H1117</f>
        <v>29.698060000000002</v>
      </c>
      <c r="H195" s="114">
        <f t="shared" si="5"/>
        <v>100</v>
      </c>
      <c r="I195" s="333"/>
      <c r="J195" s="333"/>
      <c r="K195" s="333"/>
    </row>
    <row r="196" spans="1:11" s="75" customFormat="1" ht="31.5" x14ac:dyDescent="0.25">
      <c r="A196" s="116" t="s">
        <v>330</v>
      </c>
      <c r="B196" s="117" t="s">
        <v>81</v>
      </c>
      <c r="C196" s="117" t="s">
        <v>96</v>
      </c>
      <c r="D196" s="117" t="s">
        <v>328</v>
      </c>
      <c r="E196" s="117"/>
      <c r="F196" s="338">
        <f>F197+F203+F209+F212</f>
        <v>25191.713030000003</v>
      </c>
      <c r="G196" s="338">
        <f>G197+G203+G209+G212</f>
        <v>25191.713029999999</v>
      </c>
      <c r="H196" s="113">
        <f t="shared" si="5"/>
        <v>99.999999999999986</v>
      </c>
      <c r="I196" s="132"/>
      <c r="J196" s="132"/>
      <c r="K196" s="132"/>
    </row>
    <row r="197" spans="1:11" s="131" customFormat="1" ht="47.25" x14ac:dyDescent="0.25">
      <c r="A197" s="335" t="s">
        <v>183</v>
      </c>
      <c r="B197" s="334" t="s">
        <v>81</v>
      </c>
      <c r="C197" s="334" t="s">
        <v>96</v>
      </c>
      <c r="D197" s="334" t="s">
        <v>439</v>
      </c>
      <c r="E197" s="334"/>
      <c r="F197" s="337">
        <f>F198+F200</f>
        <v>25014.713030000003</v>
      </c>
      <c r="G197" s="337">
        <f>G198+G200</f>
        <v>25014.713029999999</v>
      </c>
      <c r="H197" s="114">
        <f t="shared" si="5"/>
        <v>99.999999999999986</v>
      </c>
      <c r="I197" s="214"/>
      <c r="J197" s="214"/>
      <c r="K197" s="214"/>
    </row>
    <row r="198" spans="1:11" s="131" customFormat="1" ht="31.5" x14ac:dyDescent="0.25">
      <c r="A198" s="335" t="s">
        <v>88</v>
      </c>
      <c r="B198" s="334" t="s">
        <v>81</v>
      </c>
      <c r="C198" s="334" t="s">
        <v>96</v>
      </c>
      <c r="D198" s="334" t="s">
        <v>439</v>
      </c>
      <c r="E198" s="334" t="s">
        <v>89</v>
      </c>
      <c r="F198" s="337">
        <f>F199</f>
        <v>6996.723750000001</v>
      </c>
      <c r="G198" s="337">
        <f>G199</f>
        <v>6996.7237500000001</v>
      </c>
      <c r="H198" s="114">
        <f t="shared" si="5"/>
        <v>99.999999999999986</v>
      </c>
      <c r="I198" s="214"/>
      <c r="J198" s="214"/>
      <c r="K198" s="214"/>
    </row>
    <row r="199" spans="1:11" s="131" customFormat="1" ht="31.5" customHeight="1" x14ac:dyDescent="0.25">
      <c r="A199" s="335" t="s">
        <v>90</v>
      </c>
      <c r="B199" s="334" t="s">
        <v>81</v>
      </c>
      <c r="C199" s="334" t="s">
        <v>96</v>
      </c>
      <c r="D199" s="334" t="s">
        <v>439</v>
      </c>
      <c r="E199" s="334" t="s">
        <v>91</v>
      </c>
      <c r="F199" s="337">
        <f>'Пр.4 Ведом23'!G684</f>
        <v>6996.723750000001</v>
      </c>
      <c r="G199" s="337">
        <f>'Пр.4 Ведом23'!H684</f>
        <v>6996.7237500000001</v>
      </c>
      <c r="H199" s="114">
        <f t="shared" si="5"/>
        <v>99.999999999999986</v>
      </c>
      <c r="I199" s="214"/>
      <c r="J199" s="214"/>
      <c r="K199" s="214"/>
    </row>
    <row r="200" spans="1:11" s="131" customFormat="1" ht="15.75" x14ac:dyDescent="0.25">
      <c r="A200" s="335" t="s">
        <v>92</v>
      </c>
      <c r="B200" s="334" t="s">
        <v>81</v>
      </c>
      <c r="C200" s="334" t="s">
        <v>96</v>
      </c>
      <c r="D200" s="334" t="s">
        <v>439</v>
      </c>
      <c r="E200" s="334" t="s">
        <v>98</v>
      </c>
      <c r="F200" s="337">
        <f>F201+F202</f>
        <v>18017.989280000002</v>
      </c>
      <c r="G200" s="337">
        <f>G201+G202</f>
        <v>18017.989279999998</v>
      </c>
      <c r="H200" s="114">
        <f t="shared" si="5"/>
        <v>99.999999999999972</v>
      </c>
      <c r="I200" s="214"/>
      <c r="J200" s="214"/>
      <c r="K200" s="214"/>
    </row>
    <row r="201" spans="1:11" s="131" customFormat="1" ht="47.25" x14ac:dyDescent="0.25">
      <c r="A201" s="335" t="s">
        <v>301</v>
      </c>
      <c r="B201" s="334" t="s">
        <v>81</v>
      </c>
      <c r="C201" s="334" t="s">
        <v>96</v>
      </c>
      <c r="D201" s="334" t="s">
        <v>439</v>
      </c>
      <c r="E201" s="334" t="s">
        <v>100</v>
      </c>
      <c r="F201" s="337">
        <f>'Пр.4 Ведом23'!G686</f>
        <v>17592.960140000003</v>
      </c>
      <c r="G201" s="337">
        <f>'Пр.4 Ведом23'!H686</f>
        <v>17592.960139999999</v>
      </c>
      <c r="H201" s="114">
        <f t="shared" si="5"/>
        <v>99.999999999999972</v>
      </c>
      <c r="I201" s="214"/>
      <c r="J201" s="214"/>
      <c r="K201" s="214"/>
    </row>
    <row r="202" spans="1:11" s="332" customFormat="1" ht="15.75" x14ac:dyDescent="0.25">
      <c r="A202" s="335" t="s">
        <v>223</v>
      </c>
      <c r="B202" s="334" t="s">
        <v>81</v>
      </c>
      <c r="C202" s="334" t="s">
        <v>96</v>
      </c>
      <c r="D202" s="334" t="s">
        <v>439</v>
      </c>
      <c r="E202" s="334" t="s">
        <v>94</v>
      </c>
      <c r="F202" s="337">
        <f>'Пр.4 Ведом23'!G687</f>
        <v>425.02913999999998</v>
      </c>
      <c r="G202" s="337">
        <f>'Пр.4 Ведом23'!H687</f>
        <v>425.02913999999998</v>
      </c>
      <c r="H202" s="114">
        <f t="shared" si="5"/>
        <v>100</v>
      </c>
      <c r="I202" s="333"/>
      <c r="J202" s="333"/>
      <c r="K202" s="333"/>
    </row>
    <row r="203" spans="1:11" s="75" customFormat="1" ht="15.75" hidden="1" customHeight="1" x14ac:dyDescent="0.25">
      <c r="A203" s="335" t="s">
        <v>115</v>
      </c>
      <c r="B203" s="334" t="s">
        <v>81</v>
      </c>
      <c r="C203" s="334" t="s">
        <v>96</v>
      </c>
      <c r="D203" s="334" t="s">
        <v>543</v>
      </c>
      <c r="E203" s="334"/>
      <c r="F203" s="337">
        <f>F204+F206</f>
        <v>0</v>
      </c>
      <c r="G203" s="337">
        <f>G204+G206</f>
        <v>0</v>
      </c>
      <c r="H203" s="114" t="e">
        <f t="shared" ref="H203:H266" si="8">G203/F203*100</f>
        <v>#DIV/0!</v>
      </c>
      <c r="I203" s="132"/>
      <c r="J203" s="132"/>
      <c r="K203" s="132"/>
    </row>
    <row r="204" spans="1:11" s="75" customFormat="1" ht="31.5" hidden="1" customHeight="1" x14ac:dyDescent="0.25">
      <c r="A204" s="335" t="s">
        <v>114</v>
      </c>
      <c r="B204" s="334" t="s">
        <v>81</v>
      </c>
      <c r="C204" s="334" t="s">
        <v>96</v>
      </c>
      <c r="D204" s="334" t="s">
        <v>543</v>
      </c>
      <c r="E204" s="334" t="s">
        <v>89</v>
      </c>
      <c r="F204" s="337">
        <f>F205</f>
        <v>0</v>
      </c>
      <c r="G204" s="337">
        <f>G205</f>
        <v>0</v>
      </c>
      <c r="H204" s="114" t="e">
        <f t="shared" si="8"/>
        <v>#DIV/0!</v>
      </c>
      <c r="I204" s="132"/>
      <c r="J204" s="132"/>
      <c r="K204" s="132"/>
    </row>
    <row r="205" spans="1:11" s="75" customFormat="1" ht="31.5" hidden="1" customHeight="1" x14ac:dyDescent="0.25">
      <c r="A205" s="335" t="s">
        <v>90</v>
      </c>
      <c r="B205" s="334" t="s">
        <v>81</v>
      </c>
      <c r="C205" s="334" t="s">
        <v>96</v>
      </c>
      <c r="D205" s="334" t="s">
        <v>543</v>
      </c>
      <c r="E205" s="334" t="s">
        <v>91</v>
      </c>
      <c r="F205" s="337">
        <f>'Пр.4 Ведом23'!G156</f>
        <v>0</v>
      </c>
      <c r="G205" s="337">
        <f>'Пр.4 Ведом23'!H156</f>
        <v>0</v>
      </c>
      <c r="H205" s="114" t="e">
        <f t="shared" si="8"/>
        <v>#DIV/0!</v>
      </c>
      <c r="I205" s="132"/>
      <c r="J205" s="132"/>
      <c r="K205" s="132"/>
    </row>
    <row r="206" spans="1:11" ht="15.75" hidden="1" customHeight="1" x14ac:dyDescent="0.25">
      <c r="A206" s="19" t="s">
        <v>92</v>
      </c>
      <c r="B206" s="334" t="s">
        <v>81</v>
      </c>
      <c r="C206" s="334" t="s">
        <v>96</v>
      </c>
      <c r="D206" s="334" t="s">
        <v>543</v>
      </c>
      <c r="E206" s="334" t="s">
        <v>98</v>
      </c>
      <c r="F206" s="342">
        <f>F207+F208</f>
        <v>0</v>
      </c>
      <c r="G206" s="565">
        <f>G207+G208</f>
        <v>0</v>
      </c>
      <c r="H206" s="114" t="e">
        <f t="shared" si="8"/>
        <v>#DIV/0!</v>
      </c>
      <c r="J206" s="58"/>
    </row>
    <row r="207" spans="1:11" s="75" customFormat="1" ht="15.75" hidden="1" customHeight="1" x14ac:dyDescent="0.25">
      <c r="A207" s="335" t="s">
        <v>820</v>
      </c>
      <c r="B207" s="334" t="s">
        <v>81</v>
      </c>
      <c r="C207" s="334" t="s">
        <v>96</v>
      </c>
      <c r="D207" s="334" t="s">
        <v>543</v>
      </c>
      <c r="E207" s="334" t="s">
        <v>100</v>
      </c>
      <c r="F207" s="342">
        <f>'Пр.4 Ведом23'!G158</f>
        <v>0</v>
      </c>
      <c r="G207" s="565">
        <f>'Пр.4 Ведом23'!H158</f>
        <v>0</v>
      </c>
      <c r="H207" s="114" t="e">
        <f t="shared" si="8"/>
        <v>#DIV/0!</v>
      </c>
      <c r="I207" s="132"/>
      <c r="J207" s="58"/>
      <c r="K207" s="58"/>
    </row>
    <row r="208" spans="1:11" s="75" customFormat="1" ht="15.75" hidden="1" customHeight="1" x14ac:dyDescent="0.25">
      <c r="A208" s="335" t="s">
        <v>223</v>
      </c>
      <c r="B208" s="334" t="s">
        <v>81</v>
      </c>
      <c r="C208" s="334" t="s">
        <v>96</v>
      </c>
      <c r="D208" s="334" t="s">
        <v>543</v>
      </c>
      <c r="E208" s="334" t="s">
        <v>94</v>
      </c>
      <c r="F208" s="303">
        <f>'Пр.4 Ведом23'!G159</f>
        <v>0</v>
      </c>
      <c r="G208" s="303">
        <f>'Пр.4 Ведом23'!H159</f>
        <v>0</v>
      </c>
      <c r="H208" s="114" t="e">
        <f t="shared" si="8"/>
        <v>#DIV/0!</v>
      </c>
      <c r="I208" s="132"/>
      <c r="J208" s="58"/>
      <c r="K208" s="132"/>
    </row>
    <row r="209" spans="1:11" s="75" customFormat="1" ht="31.5" hidden="1" customHeight="1" x14ac:dyDescent="0.25">
      <c r="A209" s="335" t="s">
        <v>370</v>
      </c>
      <c r="B209" s="334" t="s">
        <v>81</v>
      </c>
      <c r="C209" s="334" t="s">
        <v>96</v>
      </c>
      <c r="D209" s="334" t="s">
        <v>440</v>
      </c>
      <c r="E209" s="334"/>
      <c r="F209" s="342">
        <f>F210</f>
        <v>0</v>
      </c>
      <c r="G209" s="565">
        <f>G210</f>
        <v>0</v>
      </c>
      <c r="H209" s="114" t="e">
        <f t="shared" si="8"/>
        <v>#DIV/0!</v>
      </c>
      <c r="I209" s="132"/>
      <c r="J209" s="58"/>
      <c r="K209" s="132"/>
    </row>
    <row r="210" spans="1:11" s="75" customFormat="1" ht="31.5" hidden="1" customHeight="1" x14ac:dyDescent="0.25">
      <c r="A210" s="335" t="s">
        <v>88</v>
      </c>
      <c r="B210" s="334" t="s">
        <v>81</v>
      </c>
      <c r="C210" s="334" t="s">
        <v>96</v>
      </c>
      <c r="D210" s="334" t="s">
        <v>440</v>
      </c>
      <c r="E210" s="334" t="s">
        <v>89</v>
      </c>
      <c r="F210" s="342">
        <f>F211</f>
        <v>0</v>
      </c>
      <c r="G210" s="565">
        <f>G211</f>
        <v>0</v>
      </c>
      <c r="H210" s="114" t="e">
        <f t="shared" si="8"/>
        <v>#DIV/0!</v>
      </c>
      <c r="I210" s="132"/>
      <c r="J210" s="58"/>
      <c r="K210" s="132"/>
    </row>
    <row r="211" spans="1:11" s="75" customFormat="1" ht="31.5" hidden="1" customHeight="1" x14ac:dyDescent="0.25">
      <c r="A211" s="335" t="s">
        <v>90</v>
      </c>
      <c r="B211" s="334" t="s">
        <v>81</v>
      </c>
      <c r="C211" s="334" t="s">
        <v>96</v>
      </c>
      <c r="D211" s="334" t="s">
        <v>440</v>
      </c>
      <c r="E211" s="334" t="s">
        <v>91</v>
      </c>
      <c r="F211" s="303">
        <f>'Пр.4 Ведом23'!G690</f>
        <v>0</v>
      </c>
      <c r="G211" s="303">
        <f>'Пр.4 Ведом23'!H690</f>
        <v>0</v>
      </c>
      <c r="H211" s="114" t="e">
        <f t="shared" si="8"/>
        <v>#DIV/0!</v>
      </c>
      <c r="I211" s="132"/>
      <c r="J211" s="58"/>
      <c r="K211" s="132"/>
    </row>
    <row r="212" spans="1:11" s="75" customFormat="1" ht="35.25" hidden="1" customHeight="1" x14ac:dyDescent="0.25">
      <c r="A212" s="335" t="s">
        <v>851</v>
      </c>
      <c r="B212" s="334" t="s">
        <v>81</v>
      </c>
      <c r="C212" s="334" t="s">
        <v>96</v>
      </c>
      <c r="D212" s="334" t="s">
        <v>838</v>
      </c>
      <c r="E212" s="334"/>
      <c r="F212" s="303">
        <f>F213</f>
        <v>177</v>
      </c>
      <c r="G212" s="303">
        <f>G213</f>
        <v>177</v>
      </c>
      <c r="H212" s="114">
        <f t="shared" si="8"/>
        <v>100</v>
      </c>
      <c r="I212" s="132"/>
      <c r="J212" s="58"/>
      <c r="K212" s="132"/>
    </row>
    <row r="213" spans="1:11" s="75" customFormat="1" ht="31.5" hidden="1" customHeight="1" x14ac:dyDescent="0.25">
      <c r="A213" s="335" t="s">
        <v>88</v>
      </c>
      <c r="B213" s="334" t="s">
        <v>81</v>
      </c>
      <c r="C213" s="334" t="s">
        <v>96</v>
      </c>
      <c r="D213" s="334" t="s">
        <v>838</v>
      </c>
      <c r="E213" s="334" t="s">
        <v>89</v>
      </c>
      <c r="F213" s="303">
        <f>F214</f>
        <v>177</v>
      </c>
      <c r="G213" s="303">
        <f>G214</f>
        <v>177</v>
      </c>
      <c r="H213" s="114">
        <f t="shared" si="8"/>
        <v>100</v>
      </c>
      <c r="I213" s="132"/>
      <c r="J213" s="58"/>
      <c r="K213" s="132"/>
    </row>
    <row r="214" spans="1:11" s="75" customFormat="1" ht="31.5" hidden="1" customHeight="1" x14ac:dyDescent="0.25">
      <c r="A214" s="335" t="s">
        <v>90</v>
      </c>
      <c r="B214" s="334" t="s">
        <v>81</v>
      </c>
      <c r="C214" s="334" t="s">
        <v>96</v>
      </c>
      <c r="D214" s="334" t="s">
        <v>838</v>
      </c>
      <c r="E214" s="334" t="s">
        <v>91</v>
      </c>
      <c r="F214" s="303">
        <f>'Пр.4 Ведом23'!G43</f>
        <v>177</v>
      </c>
      <c r="G214" s="303">
        <f>'Пр.4 Ведом23'!H43</f>
        <v>177</v>
      </c>
      <c r="H214" s="114">
        <f t="shared" si="8"/>
        <v>100</v>
      </c>
      <c r="I214" s="132"/>
      <c r="J214" s="58"/>
      <c r="K214" s="132"/>
    </row>
    <row r="215" spans="1:11" s="131" customFormat="1" ht="47.25" x14ac:dyDescent="0.25">
      <c r="A215" s="116" t="s">
        <v>882</v>
      </c>
      <c r="B215" s="7" t="s">
        <v>81</v>
      </c>
      <c r="C215" s="7" t="s">
        <v>96</v>
      </c>
      <c r="D215" s="74" t="s">
        <v>169</v>
      </c>
      <c r="E215" s="7"/>
      <c r="F215" s="305">
        <f>F216</f>
        <v>597.68360999999993</v>
      </c>
      <c r="G215" s="305">
        <f>G216</f>
        <v>597.68361000000004</v>
      </c>
      <c r="H215" s="113">
        <f t="shared" si="8"/>
        <v>100.00000000000003</v>
      </c>
      <c r="I215" s="214"/>
      <c r="J215" s="58"/>
      <c r="K215" s="214"/>
    </row>
    <row r="216" spans="1:11" s="131" customFormat="1" ht="78.75" x14ac:dyDescent="0.25">
      <c r="A216" s="130" t="s">
        <v>883</v>
      </c>
      <c r="B216" s="6" t="s">
        <v>81</v>
      </c>
      <c r="C216" s="6" t="s">
        <v>96</v>
      </c>
      <c r="D216" s="6" t="s">
        <v>177</v>
      </c>
      <c r="E216" s="6"/>
      <c r="F216" s="305">
        <f>F217</f>
        <v>597.68360999999993</v>
      </c>
      <c r="G216" s="305">
        <f>G217</f>
        <v>597.68361000000004</v>
      </c>
      <c r="H216" s="113">
        <f t="shared" si="8"/>
        <v>100.00000000000003</v>
      </c>
      <c r="I216" s="214"/>
      <c r="J216" s="58"/>
      <c r="K216" s="214"/>
    </row>
    <row r="217" spans="1:11" s="131" customFormat="1" ht="63" x14ac:dyDescent="0.25">
      <c r="A217" s="89" t="s">
        <v>468</v>
      </c>
      <c r="B217" s="6" t="s">
        <v>81</v>
      </c>
      <c r="C217" s="6" t="s">
        <v>96</v>
      </c>
      <c r="D217" s="6" t="s">
        <v>357</v>
      </c>
      <c r="E217" s="6"/>
      <c r="F217" s="305">
        <f>F218+F221+F226</f>
        <v>597.68360999999993</v>
      </c>
      <c r="G217" s="305">
        <f>G218+G221+G226</f>
        <v>597.68361000000004</v>
      </c>
      <c r="H217" s="113">
        <f t="shared" si="8"/>
        <v>100.00000000000003</v>
      </c>
      <c r="I217" s="214"/>
      <c r="J217" s="58"/>
      <c r="K217" s="214"/>
    </row>
    <row r="218" spans="1:11" s="131" customFormat="1" ht="31.5" x14ac:dyDescent="0.25">
      <c r="A218" s="26" t="s">
        <v>505</v>
      </c>
      <c r="B218" s="217" t="s">
        <v>81</v>
      </c>
      <c r="C218" s="217" t="s">
        <v>96</v>
      </c>
      <c r="D218" s="217" t="s">
        <v>555</v>
      </c>
      <c r="E218" s="217"/>
      <c r="F218" s="303">
        <f>F219</f>
        <v>508.08360999999991</v>
      </c>
      <c r="G218" s="303">
        <f>G219</f>
        <v>508.08361000000002</v>
      </c>
      <c r="H218" s="114">
        <f t="shared" si="8"/>
        <v>100.00000000000003</v>
      </c>
      <c r="I218" s="214"/>
      <c r="J218" s="58"/>
      <c r="K218" s="214"/>
    </row>
    <row r="219" spans="1:11" s="131" customFormat="1" ht="31.5" x14ac:dyDescent="0.25">
      <c r="A219" s="19" t="s">
        <v>88</v>
      </c>
      <c r="B219" s="217" t="s">
        <v>81</v>
      </c>
      <c r="C219" s="217" t="s">
        <v>96</v>
      </c>
      <c r="D219" s="217" t="s">
        <v>555</v>
      </c>
      <c r="E219" s="217" t="s">
        <v>89</v>
      </c>
      <c r="F219" s="303">
        <f>F220</f>
        <v>508.08360999999991</v>
      </c>
      <c r="G219" s="303">
        <f>G220</f>
        <v>508.08361000000002</v>
      </c>
      <c r="H219" s="114">
        <f t="shared" si="8"/>
        <v>100.00000000000003</v>
      </c>
      <c r="I219" s="214"/>
      <c r="J219" s="58"/>
      <c r="K219" s="214"/>
    </row>
    <row r="220" spans="1:11" s="131" customFormat="1" ht="31.5" customHeight="1" x14ac:dyDescent="0.25">
      <c r="A220" s="19" t="s">
        <v>90</v>
      </c>
      <c r="B220" s="217" t="s">
        <v>81</v>
      </c>
      <c r="C220" s="217" t="s">
        <v>96</v>
      </c>
      <c r="D220" s="217" t="s">
        <v>555</v>
      </c>
      <c r="E220" s="217" t="s">
        <v>91</v>
      </c>
      <c r="F220" s="303">
        <f>'Пр.4 Ведом23'!G305</f>
        <v>508.08360999999991</v>
      </c>
      <c r="G220" s="303">
        <f>'Пр.4 Ведом23'!H305</f>
        <v>508.08361000000002</v>
      </c>
      <c r="H220" s="114">
        <f t="shared" si="8"/>
        <v>100.00000000000003</v>
      </c>
      <c r="I220" s="214"/>
      <c r="J220" s="58"/>
      <c r="K220" s="214"/>
    </row>
    <row r="221" spans="1:11" s="131" customFormat="1" ht="31.5" x14ac:dyDescent="0.25">
      <c r="A221" s="26" t="s">
        <v>700</v>
      </c>
      <c r="B221" s="217" t="s">
        <v>81</v>
      </c>
      <c r="C221" s="217" t="s">
        <v>96</v>
      </c>
      <c r="D221" s="217" t="s">
        <v>710</v>
      </c>
      <c r="E221" s="217"/>
      <c r="F221" s="303">
        <f>F222+F224</f>
        <v>89.6</v>
      </c>
      <c r="G221" s="303">
        <f>G222+G224</f>
        <v>89.6</v>
      </c>
      <c r="H221" s="114">
        <f t="shared" si="8"/>
        <v>100</v>
      </c>
      <c r="I221" s="214"/>
      <c r="J221" s="58"/>
      <c r="K221" s="214"/>
    </row>
    <row r="222" spans="1:11" s="131" customFormat="1" ht="31.5" hidden="1" customHeight="1" x14ac:dyDescent="0.25">
      <c r="A222" s="19" t="s">
        <v>88</v>
      </c>
      <c r="B222" s="217" t="s">
        <v>81</v>
      </c>
      <c r="C222" s="217" t="s">
        <v>96</v>
      </c>
      <c r="D222" s="217" t="s">
        <v>710</v>
      </c>
      <c r="E222" s="217" t="s">
        <v>89</v>
      </c>
      <c r="F222" s="303">
        <f>F223</f>
        <v>0</v>
      </c>
      <c r="G222" s="303">
        <f>G223</f>
        <v>0</v>
      </c>
      <c r="H222" s="114" t="e">
        <f t="shared" si="8"/>
        <v>#DIV/0!</v>
      </c>
      <c r="I222" s="214"/>
      <c r="J222" s="58"/>
      <c r="K222" s="214"/>
    </row>
    <row r="223" spans="1:11" s="131" customFormat="1" ht="31.5" hidden="1" customHeight="1" x14ac:dyDescent="0.25">
      <c r="A223" s="19" t="s">
        <v>90</v>
      </c>
      <c r="B223" s="217" t="s">
        <v>81</v>
      </c>
      <c r="C223" s="217" t="s">
        <v>96</v>
      </c>
      <c r="D223" s="217" t="s">
        <v>710</v>
      </c>
      <c r="E223" s="217" t="s">
        <v>91</v>
      </c>
      <c r="F223" s="303">
        <f>'Пр.4 Ведом23'!G308</f>
        <v>0</v>
      </c>
      <c r="G223" s="303">
        <f>'Пр.4 Ведом23'!H308</f>
        <v>0</v>
      </c>
      <c r="H223" s="114" t="e">
        <f t="shared" si="8"/>
        <v>#DIV/0!</v>
      </c>
      <c r="I223" s="214"/>
      <c r="J223" s="58"/>
      <c r="K223" s="214"/>
    </row>
    <row r="224" spans="1:11" s="332" customFormat="1" ht="45" customHeight="1" x14ac:dyDescent="0.25">
      <c r="A224" s="19" t="s">
        <v>149</v>
      </c>
      <c r="B224" s="217" t="s">
        <v>81</v>
      </c>
      <c r="C224" s="217" t="s">
        <v>96</v>
      </c>
      <c r="D224" s="217" t="s">
        <v>710</v>
      </c>
      <c r="E224" s="217" t="s">
        <v>150</v>
      </c>
      <c r="F224" s="303">
        <f>F225</f>
        <v>89.6</v>
      </c>
      <c r="G224" s="303">
        <f>G225</f>
        <v>89.6</v>
      </c>
      <c r="H224" s="114">
        <f t="shared" si="8"/>
        <v>100</v>
      </c>
      <c r="I224" s="333"/>
      <c r="J224" s="58"/>
      <c r="K224" s="333"/>
    </row>
    <row r="225" spans="1:11" s="332" customFormat="1" ht="62.45" customHeight="1" x14ac:dyDescent="0.25">
      <c r="A225" s="19" t="s">
        <v>499</v>
      </c>
      <c r="B225" s="217" t="s">
        <v>81</v>
      </c>
      <c r="C225" s="217" t="s">
        <v>96</v>
      </c>
      <c r="D225" s="217" t="s">
        <v>710</v>
      </c>
      <c r="E225" s="217" t="s">
        <v>180</v>
      </c>
      <c r="F225" s="303">
        <f>'Пр.4 Ведом23'!G310</f>
        <v>89.6</v>
      </c>
      <c r="G225" s="303">
        <f>'Пр.4 Ведом23'!H310</f>
        <v>89.6</v>
      </c>
      <c r="H225" s="114">
        <f t="shared" si="8"/>
        <v>100</v>
      </c>
      <c r="I225" s="333"/>
      <c r="J225" s="58"/>
      <c r="K225" s="333"/>
    </row>
    <row r="226" spans="1:11" s="131" customFormat="1" ht="31.5" hidden="1" customHeight="1" x14ac:dyDescent="0.25">
      <c r="A226" s="19" t="s">
        <v>757</v>
      </c>
      <c r="B226" s="217" t="s">
        <v>81</v>
      </c>
      <c r="C226" s="217" t="s">
        <v>96</v>
      </c>
      <c r="D226" s="8" t="s">
        <v>758</v>
      </c>
      <c r="E226" s="217"/>
      <c r="F226" s="303">
        <f>F227</f>
        <v>0</v>
      </c>
      <c r="G226" s="303">
        <f>G227</f>
        <v>0</v>
      </c>
      <c r="H226" s="114" t="e">
        <f t="shared" si="8"/>
        <v>#DIV/0!</v>
      </c>
      <c r="I226" s="214"/>
      <c r="J226" s="58"/>
      <c r="K226" s="214"/>
    </row>
    <row r="227" spans="1:11" s="131" customFormat="1" ht="31.5" hidden="1" customHeight="1" x14ac:dyDescent="0.25">
      <c r="A227" s="19" t="s">
        <v>88</v>
      </c>
      <c r="B227" s="217" t="s">
        <v>81</v>
      </c>
      <c r="C227" s="217" t="s">
        <v>96</v>
      </c>
      <c r="D227" s="8" t="s">
        <v>758</v>
      </c>
      <c r="E227" s="217" t="s">
        <v>89</v>
      </c>
      <c r="F227" s="303">
        <f>F228</f>
        <v>0</v>
      </c>
      <c r="G227" s="303">
        <f>G228</f>
        <v>0</v>
      </c>
      <c r="H227" s="114" t="e">
        <f t="shared" si="8"/>
        <v>#DIV/0!</v>
      </c>
      <c r="I227" s="214"/>
      <c r="J227" s="58"/>
      <c r="K227" s="214"/>
    </row>
    <row r="228" spans="1:11" s="131" customFormat="1" ht="31.5" hidden="1" customHeight="1" x14ac:dyDescent="0.25">
      <c r="A228" s="19" t="s">
        <v>90</v>
      </c>
      <c r="B228" s="217" t="s">
        <v>81</v>
      </c>
      <c r="C228" s="217" t="s">
        <v>96</v>
      </c>
      <c r="D228" s="8" t="s">
        <v>758</v>
      </c>
      <c r="E228" s="217" t="s">
        <v>91</v>
      </c>
      <c r="F228" s="303">
        <f>'Пр.4 Ведом23'!G313</f>
        <v>0</v>
      </c>
      <c r="G228" s="303">
        <f>'Пр.4 Ведом23'!H313</f>
        <v>0</v>
      </c>
      <c r="H228" s="114" t="e">
        <f t="shared" si="8"/>
        <v>#DIV/0!</v>
      </c>
      <c r="I228" s="214"/>
      <c r="J228" s="58"/>
      <c r="K228" s="214"/>
    </row>
    <row r="229" spans="1:11" s="75" customFormat="1" ht="47.25" hidden="1" customHeight="1" x14ac:dyDescent="0.25">
      <c r="A229" s="116" t="s">
        <v>894</v>
      </c>
      <c r="B229" s="117" t="s">
        <v>81</v>
      </c>
      <c r="C229" s="117" t="s">
        <v>96</v>
      </c>
      <c r="D229" s="117" t="s">
        <v>162</v>
      </c>
      <c r="E229" s="117"/>
      <c r="F229" s="305">
        <f t="shared" ref="F229:G231" si="9">F230</f>
        <v>0</v>
      </c>
      <c r="G229" s="305">
        <f t="shared" si="9"/>
        <v>0</v>
      </c>
      <c r="H229" s="114" t="e">
        <f t="shared" si="8"/>
        <v>#DIV/0!</v>
      </c>
      <c r="I229" s="132"/>
      <c r="J229" s="58"/>
      <c r="K229" s="132"/>
    </row>
    <row r="230" spans="1:11" s="75" customFormat="1" ht="47.25" hidden="1" customHeight="1" x14ac:dyDescent="0.25">
      <c r="A230" s="335" t="s">
        <v>493</v>
      </c>
      <c r="B230" s="334" t="s">
        <v>81</v>
      </c>
      <c r="C230" s="334" t="s">
        <v>96</v>
      </c>
      <c r="D230" s="334" t="s">
        <v>453</v>
      </c>
      <c r="E230" s="334"/>
      <c r="F230" s="303">
        <f t="shared" si="9"/>
        <v>0</v>
      </c>
      <c r="G230" s="303">
        <f t="shared" si="9"/>
        <v>0</v>
      </c>
      <c r="H230" s="114" t="e">
        <f t="shared" si="8"/>
        <v>#DIV/0!</v>
      </c>
      <c r="I230" s="132"/>
      <c r="J230" s="58"/>
      <c r="K230" s="132"/>
    </row>
    <row r="231" spans="1:11" s="131" customFormat="1" ht="31.5" hidden="1" customHeight="1" x14ac:dyDescent="0.25">
      <c r="A231" s="335" t="s">
        <v>114</v>
      </c>
      <c r="B231" s="334" t="s">
        <v>81</v>
      </c>
      <c r="C231" s="334" t="s">
        <v>96</v>
      </c>
      <c r="D231" s="334" t="s">
        <v>453</v>
      </c>
      <c r="E231" s="334" t="s">
        <v>89</v>
      </c>
      <c r="F231" s="303">
        <f t="shared" si="9"/>
        <v>0</v>
      </c>
      <c r="G231" s="303">
        <f t="shared" si="9"/>
        <v>0</v>
      </c>
      <c r="H231" s="114" t="e">
        <f t="shared" si="8"/>
        <v>#DIV/0!</v>
      </c>
      <c r="I231" s="132"/>
      <c r="J231" s="58"/>
      <c r="K231" s="132"/>
    </row>
    <row r="232" spans="1:11" s="75" customFormat="1" ht="31.5" hidden="1" customHeight="1" x14ac:dyDescent="0.25">
      <c r="A232" s="335" t="s">
        <v>90</v>
      </c>
      <c r="B232" s="334" t="s">
        <v>81</v>
      </c>
      <c r="C232" s="334" t="s">
        <v>96</v>
      </c>
      <c r="D232" s="334" t="s">
        <v>453</v>
      </c>
      <c r="E232" s="334" t="s">
        <v>91</v>
      </c>
      <c r="F232" s="303">
        <f>'Пр.4 Ведом23'!G164</f>
        <v>0</v>
      </c>
      <c r="G232" s="303">
        <f>'Пр.4 Ведом23'!H164</f>
        <v>0</v>
      </c>
      <c r="H232" s="114" t="e">
        <f t="shared" si="8"/>
        <v>#DIV/0!</v>
      </c>
      <c r="I232" s="132"/>
      <c r="J232" s="58"/>
      <c r="K232" s="132"/>
    </row>
    <row r="233" spans="1:11" s="75" customFormat="1" ht="47.25" x14ac:dyDescent="0.25">
      <c r="A233" s="116" t="s">
        <v>896</v>
      </c>
      <c r="B233" s="117" t="s">
        <v>81</v>
      </c>
      <c r="C233" s="117" t="s">
        <v>96</v>
      </c>
      <c r="D233" s="117" t="s">
        <v>165</v>
      </c>
      <c r="E233" s="117"/>
      <c r="F233" s="343">
        <f>F234</f>
        <v>17.600000000000001</v>
      </c>
      <c r="G233" s="566">
        <f>G234</f>
        <v>17.600000000000001</v>
      </c>
      <c r="H233" s="113">
        <f t="shared" si="8"/>
        <v>100</v>
      </c>
      <c r="I233" s="132"/>
      <c r="J233" s="58"/>
      <c r="K233" s="132"/>
    </row>
    <row r="234" spans="1:11" s="75" customFormat="1" ht="31.5" x14ac:dyDescent="0.25">
      <c r="A234" s="116" t="s">
        <v>472</v>
      </c>
      <c r="B234" s="117" t="s">
        <v>81</v>
      </c>
      <c r="C234" s="117" t="s">
        <v>96</v>
      </c>
      <c r="D234" s="117" t="s">
        <v>473</v>
      </c>
      <c r="E234" s="117"/>
      <c r="F234" s="343">
        <f>F235+F238+F241+F244+F247</f>
        <v>17.600000000000001</v>
      </c>
      <c r="G234" s="566">
        <f>G235+G238+G241+G244+G247</f>
        <v>17.600000000000001</v>
      </c>
      <c r="H234" s="113">
        <f t="shared" si="8"/>
        <v>100</v>
      </c>
      <c r="I234" s="132"/>
      <c r="J234" s="58"/>
      <c r="K234" s="132"/>
    </row>
    <row r="235" spans="1:11" s="75" customFormat="1" ht="31.5" hidden="1" customHeight="1" x14ac:dyDescent="0.25">
      <c r="A235" s="66" t="s">
        <v>166</v>
      </c>
      <c r="B235" s="334" t="s">
        <v>81</v>
      </c>
      <c r="C235" s="334" t="s">
        <v>96</v>
      </c>
      <c r="D235" s="334" t="s">
        <v>474</v>
      </c>
      <c r="E235" s="334"/>
      <c r="F235" s="342">
        <f>F236</f>
        <v>0</v>
      </c>
      <c r="G235" s="565">
        <f>G236</f>
        <v>0</v>
      </c>
      <c r="H235" s="114" t="e">
        <f t="shared" si="8"/>
        <v>#DIV/0!</v>
      </c>
      <c r="I235" s="132"/>
      <c r="J235" s="58"/>
      <c r="K235" s="132"/>
    </row>
    <row r="236" spans="1:11" s="75" customFormat="1" ht="31.5" hidden="1" customHeight="1" x14ac:dyDescent="0.25">
      <c r="A236" s="335" t="s">
        <v>88</v>
      </c>
      <c r="B236" s="334" t="s">
        <v>81</v>
      </c>
      <c r="C236" s="334" t="s">
        <v>96</v>
      </c>
      <c r="D236" s="334" t="s">
        <v>474</v>
      </c>
      <c r="E236" s="334" t="s">
        <v>89</v>
      </c>
      <c r="F236" s="342">
        <f>F237</f>
        <v>0</v>
      </c>
      <c r="G236" s="565">
        <f>G237</f>
        <v>0</v>
      </c>
      <c r="H236" s="114" t="e">
        <f t="shared" si="8"/>
        <v>#DIV/0!</v>
      </c>
      <c r="I236" s="132"/>
      <c r="J236" s="58"/>
      <c r="K236" s="132"/>
    </row>
    <row r="237" spans="1:11" s="112" customFormat="1" ht="31.5" hidden="1" customHeight="1" x14ac:dyDescent="0.25">
      <c r="A237" s="335" t="s">
        <v>90</v>
      </c>
      <c r="B237" s="334" t="s">
        <v>81</v>
      </c>
      <c r="C237" s="334" t="s">
        <v>96</v>
      </c>
      <c r="D237" s="334" t="s">
        <v>474</v>
      </c>
      <c r="E237" s="334" t="s">
        <v>91</v>
      </c>
      <c r="F237" s="342">
        <f>'Пр.4 Ведом23'!G318+'Пр.4 Ведом23'!G716+'Пр.4 Ведом23'!G948</f>
        <v>0</v>
      </c>
      <c r="G237" s="565">
        <f>'Пр.4 Ведом23'!H318+'Пр.4 Ведом23'!H716+'Пр.4 Ведом23'!H948</f>
        <v>0</v>
      </c>
      <c r="H237" s="114" t="e">
        <f t="shared" si="8"/>
        <v>#DIV/0!</v>
      </c>
      <c r="I237" s="132"/>
      <c r="J237" s="58"/>
      <c r="K237" s="132"/>
    </row>
    <row r="238" spans="1:11" s="112" customFormat="1" ht="31.5" x14ac:dyDescent="0.25">
      <c r="A238" s="335" t="s">
        <v>167</v>
      </c>
      <c r="B238" s="334" t="s">
        <v>81</v>
      </c>
      <c r="C238" s="334" t="s">
        <v>96</v>
      </c>
      <c r="D238" s="334" t="s">
        <v>475</v>
      </c>
      <c r="E238" s="334"/>
      <c r="F238" s="342">
        <f>F239</f>
        <v>17.600000000000001</v>
      </c>
      <c r="G238" s="565">
        <f>G239</f>
        <v>17.600000000000001</v>
      </c>
      <c r="H238" s="114">
        <f t="shared" si="8"/>
        <v>100</v>
      </c>
      <c r="I238" s="132"/>
      <c r="J238" s="58"/>
      <c r="K238" s="132"/>
    </row>
    <row r="239" spans="1:11" s="75" customFormat="1" ht="31.5" x14ac:dyDescent="0.25">
      <c r="A239" s="335" t="s">
        <v>88</v>
      </c>
      <c r="B239" s="334" t="s">
        <v>81</v>
      </c>
      <c r="C239" s="334" t="s">
        <v>96</v>
      </c>
      <c r="D239" s="334" t="s">
        <v>475</v>
      </c>
      <c r="E239" s="334" t="s">
        <v>89</v>
      </c>
      <c r="F239" s="342">
        <f>F240</f>
        <v>17.600000000000001</v>
      </c>
      <c r="G239" s="565">
        <f>G240</f>
        <v>17.600000000000001</v>
      </c>
      <c r="H239" s="114">
        <f t="shared" si="8"/>
        <v>100</v>
      </c>
      <c r="I239" s="132"/>
      <c r="J239" s="58"/>
      <c r="K239" s="132"/>
    </row>
    <row r="240" spans="1:11" s="75" customFormat="1" ht="31.5" customHeight="1" x14ac:dyDescent="0.25">
      <c r="A240" s="335" t="s">
        <v>90</v>
      </c>
      <c r="B240" s="334" t="s">
        <v>81</v>
      </c>
      <c r="C240" s="334" t="s">
        <v>96</v>
      </c>
      <c r="D240" s="334" t="s">
        <v>475</v>
      </c>
      <c r="E240" s="334" t="s">
        <v>91</v>
      </c>
      <c r="F240" s="342">
        <f>'Пр.4 Ведом23'!G321</f>
        <v>17.600000000000001</v>
      </c>
      <c r="G240" s="565">
        <f>'Пр.4 Ведом23'!H321</f>
        <v>17.600000000000001</v>
      </c>
      <c r="H240" s="114">
        <f t="shared" si="8"/>
        <v>100</v>
      </c>
      <c r="I240" s="132"/>
      <c r="J240" s="58"/>
      <c r="K240" s="132"/>
    </row>
    <row r="241" spans="1:11" s="75" customFormat="1" ht="47.25" hidden="1" customHeight="1" x14ac:dyDescent="0.25">
      <c r="A241" s="20" t="s">
        <v>268</v>
      </c>
      <c r="B241" s="334" t="s">
        <v>81</v>
      </c>
      <c r="C241" s="334" t="s">
        <v>96</v>
      </c>
      <c r="D241" s="334" t="s">
        <v>476</v>
      </c>
      <c r="E241" s="334"/>
      <c r="F241" s="342">
        <f>F242</f>
        <v>0</v>
      </c>
      <c r="G241" s="565">
        <f>G242</f>
        <v>0</v>
      </c>
      <c r="H241" s="114" t="e">
        <f t="shared" si="8"/>
        <v>#DIV/0!</v>
      </c>
      <c r="I241" s="132"/>
      <c r="J241" s="58"/>
      <c r="K241" s="132"/>
    </row>
    <row r="242" spans="1:11" s="131" customFormat="1" ht="31.5" hidden="1" customHeight="1" x14ac:dyDescent="0.25">
      <c r="A242" s="335" t="s">
        <v>88</v>
      </c>
      <c r="B242" s="334" t="s">
        <v>81</v>
      </c>
      <c r="C242" s="334" t="s">
        <v>96</v>
      </c>
      <c r="D242" s="334" t="s">
        <v>476</v>
      </c>
      <c r="E242" s="334" t="s">
        <v>89</v>
      </c>
      <c r="F242" s="342">
        <f>F243</f>
        <v>0</v>
      </c>
      <c r="G242" s="565">
        <f>G243</f>
        <v>0</v>
      </c>
      <c r="H242" s="114" t="e">
        <f t="shared" si="8"/>
        <v>#DIV/0!</v>
      </c>
      <c r="I242" s="132"/>
      <c r="J242" s="58"/>
      <c r="K242" s="132"/>
    </row>
    <row r="243" spans="1:11" s="131" customFormat="1" ht="31.5" hidden="1" customHeight="1" x14ac:dyDescent="0.25">
      <c r="A243" s="335" t="s">
        <v>90</v>
      </c>
      <c r="B243" s="334" t="s">
        <v>81</v>
      </c>
      <c r="C243" s="334" t="s">
        <v>96</v>
      </c>
      <c r="D243" s="334" t="s">
        <v>476</v>
      </c>
      <c r="E243" s="334" t="s">
        <v>91</v>
      </c>
      <c r="F243" s="342">
        <f>'Пр.4 Ведом23'!G324</f>
        <v>0</v>
      </c>
      <c r="G243" s="565">
        <f>'Пр.4 Ведом23'!H324</f>
        <v>0</v>
      </c>
      <c r="H243" s="114" t="e">
        <f t="shared" si="8"/>
        <v>#DIV/0!</v>
      </c>
      <c r="I243" s="132"/>
      <c r="J243" s="58"/>
      <c r="K243" s="132"/>
    </row>
    <row r="244" spans="1:11" s="131" customFormat="1" ht="15.75" hidden="1" customHeight="1" x14ac:dyDescent="0.25">
      <c r="A244" s="335" t="s">
        <v>423</v>
      </c>
      <c r="B244" s="334" t="s">
        <v>81</v>
      </c>
      <c r="C244" s="334" t="s">
        <v>96</v>
      </c>
      <c r="D244" s="334" t="s">
        <v>477</v>
      </c>
      <c r="E244" s="334"/>
      <c r="F244" s="342">
        <f>F245</f>
        <v>0</v>
      </c>
      <c r="G244" s="565">
        <f>G245</f>
        <v>0</v>
      </c>
      <c r="H244" s="114" t="e">
        <f t="shared" si="8"/>
        <v>#DIV/0!</v>
      </c>
      <c r="I244" s="132"/>
      <c r="J244" s="58"/>
      <c r="K244" s="132"/>
    </row>
    <row r="245" spans="1:11" s="131" customFormat="1" ht="31.5" hidden="1" customHeight="1" x14ac:dyDescent="0.25">
      <c r="A245" s="335" t="s">
        <v>88</v>
      </c>
      <c r="B245" s="334" t="s">
        <v>81</v>
      </c>
      <c r="C245" s="334" t="s">
        <v>96</v>
      </c>
      <c r="D245" s="334" t="s">
        <v>477</v>
      </c>
      <c r="E245" s="334" t="s">
        <v>89</v>
      </c>
      <c r="F245" s="342">
        <f>F246</f>
        <v>0</v>
      </c>
      <c r="G245" s="565">
        <f>G246</f>
        <v>0</v>
      </c>
      <c r="H245" s="114" t="e">
        <f t="shared" si="8"/>
        <v>#DIV/0!</v>
      </c>
      <c r="I245" s="132"/>
      <c r="J245" s="58"/>
      <c r="K245" s="132"/>
    </row>
    <row r="246" spans="1:11" s="131" customFormat="1" ht="31.5" hidden="1" customHeight="1" x14ac:dyDescent="0.25">
      <c r="A246" s="335" t="s">
        <v>90</v>
      </c>
      <c r="B246" s="334" t="s">
        <v>81</v>
      </c>
      <c r="C246" s="334" t="s">
        <v>96</v>
      </c>
      <c r="D246" s="334" t="s">
        <v>477</v>
      </c>
      <c r="E246" s="334" t="s">
        <v>91</v>
      </c>
      <c r="F246" s="342">
        <f>'Пр.4 Ведом23'!G327</f>
        <v>0</v>
      </c>
      <c r="G246" s="565">
        <f>'Пр.4 Ведом23'!H327</f>
        <v>0</v>
      </c>
      <c r="H246" s="114" t="e">
        <f t="shared" si="8"/>
        <v>#DIV/0!</v>
      </c>
      <c r="I246" s="132"/>
      <c r="J246" s="58"/>
      <c r="K246" s="132"/>
    </row>
    <row r="247" spans="1:11" s="131" customFormat="1" ht="31.5" hidden="1" customHeight="1" x14ac:dyDescent="0.25">
      <c r="A247" s="20" t="s">
        <v>269</v>
      </c>
      <c r="B247" s="334" t="s">
        <v>81</v>
      </c>
      <c r="C247" s="334" t="s">
        <v>96</v>
      </c>
      <c r="D247" s="334" t="s">
        <v>478</v>
      </c>
      <c r="E247" s="334"/>
      <c r="F247" s="342">
        <f>F248</f>
        <v>0</v>
      </c>
      <c r="G247" s="565">
        <f>G248</f>
        <v>0</v>
      </c>
      <c r="H247" s="114" t="e">
        <f t="shared" si="8"/>
        <v>#DIV/0!</v>
      </c>
      <c r="I247" s="132"/>
      <c r="J247" s="58"/>
      <c r="K247" s="132"/>
    </row>
    <row r="248" spans="1:11" s="214" customFormat="1" ht="31.5" hidden="1" customHeight="1" x14ac:dyDescent="0.25">
      <c r="A248" s="335" t="s">
        <v>88</v>
      </c>
      <c r="B248" s="334" t="s">
        <v>81</v>
      </c>
      <c r="C248" s="334" t="s">
        <v>96</v>
      </c>
      <c r="D248" s="334" t="s">
        <v>478</v>
      </c>
      <c r="E248" s="334" t="s">
        <v>89</v>
      </c>
      <c r="F248" s="342">
        <f>F249</f>
        <v>0</v>
      </c>
      <c r="G248" s="565">
        <f>G249</f>
        <v>0</v>
      </c>
      <c r="H248" s="114" t="e">
        <f t="shared" si="8"/>
        <v>#DIV/0!</v>
      </c>
      <c r="J248" s="58"/>
    </row>
    <row r="249" spans="1:11" s="214" customFormat="1" ht="31.5" hidden="1" customHeight="1" x14ac:dyDescent="0.25">
      <c r="A249" s="335" t="s">
        <v>90</v>
      </c>
      <c r="B249" s="334" t="s">
        <v>81</v>
      </c>
      <c r="C249" s="334" t="s">
        <v>96</v>
      </c>
      <c r="D249" s="334" t="s">
        <v>478</v>
      </c>
      <c r="E249" s="334" t="s">
        <v>91</v>
      </c>
      <c r="F249" s="342">
        <f>'Пр.4 Ведом23'!G330</f>
        <v>0</v>
      </c>
      <c r="G249" s="565">
        <f>'Пр.4 Ведом23'!H330</f>
        <v>0</v>
      </c>
      <c r="H249" s="114" t="e">
        <f t="shared" si="8"/>
        <v>#DIV/0!</v>
      </c>
      <c r="J249" s="58"/>
    </row>
    <row r="250" spans="1:11" s="214" customFormat="1" ht="47.25" x14ac:dyDescent="0.25">
      <c r="A250" s="130" t="s">
        <v>853</v>
      </c>
      <c r="B250" s="117" t="s">
        <v>81</v>
      </c>
      <c r="C250" s="117" t="s">
        <v>96</v>
      </c>
      <c r="D250" s="117" t="s">
        <v>259</v>
      </c>
      <c r="E250" s="119"/>
      <c r="F250" s="343">
        <f>F251+F255</f>
        <v>21.858429999999998</v>
      </c>
      <c r="G250" s="566">
        <f>G251+G255</f>
        <v>21.858429999999998</v>
      </c>
      <c r="H250" s="113">
        <f t="shared" si="8"/>
        <v>100</v>
      </c>
      <c r="J250" s="58"/>
    </row>
    <row r="251" spans="1:11" s="214" customFormat="1" ht="47.25" x14ac:dyDescent="0.25">
      <c r="A251" s="30" t="s">
        <v>309</v>
      </c>
      <c r="B251" s="117" t="s">
        <v>81</v>
      </c>
      <c r="C251" s="117" t="s">
        <v>96</v>
      </c>
      <c r="D251" s="117" t="s">
        <v>315</v>
      </c>
      <c r="E251" s="119"/>
      <c r="F251" s="343">
        <f t="shared" ref="F251:G253" si="10">F252</f>
        <v>6.8584300000000002</v>
      </c>
      <c r="G251" s="566">
        <f t="shared" si="10"/>
        <v>6.8584300000000002</v>
      </c>
      <c r="H251" s="113">
        <f t="shared" si="8"/>
        <v>100</v>
      </c>
      <c r="J251" s="58"/>
    </row>
    <row r="252" spans="1:11" s="75" customFormat="1" ht="31.5" x14ac:dyDescent="0.25">
      <c r="A252" s="26" t="s">
        <v>271</v>
      </c>
      <c r="B252" s="334" t="s">
        <v>81</v>
      </c>
      <c r="C252" s="334" t="s">
        <v>96</v>
      </c>
      <c r="D252" s="334" t="s">
        <v>310</v>
      </c>
      <c r="E252" s="118"/>
      <c r="F252" s="342">
        <f t="shared" si="10"/>
        <v>6.8584300000000002</v>
      </c>
      <c r="G252" s="565">
        <f t="shared" si="10"/>
        <v>6.8584300000000002</v>
      </c>
      <c r="H252" s="114">
        <f t="shared" si="8"/>
        <v>100</v>
      </c>
      <c r="I252" s="132"/>
      <c r="J252" s="58"/>
      <c r="K252" s="132"/>
    </row>
    <row r="253" spans="1:11" s="75" customFormat="1" ht="31.5" x14ac:dyDescent="0.25">
      <c r="A253" s="335" t="s">
        <v>88</v>
      </c>
      <c r="B253" s="334" t="s">
        <v>81</v>
      </c>
      <c r="C253" s="334" t="s">
        <v>96</v>
      </c>
      <c r="D253" s="334" t="s">
        <v>310</v>
      </c>
      <c r="E253" s="118" t="s">
        <v>89</v>
      </c>
      <c r="F253" s="342">
        <f t="shared" si="10"/>
        <v>6.8584300000000002</v>
      </c>
      <c r="G253" s="565">
        <f t="shared" si="10"/>
        <v>6.8584300000000002</v>
      </c>
      <c r="H253" s="114">
        <f t="shared" si="8"/>
        <v>100</v>
      </c>
      <c r="I253" s="132"/>
      <c r="J253" s="58"/>
      <c r="K253" s="132"/>
    </row>
    <row r="254" spans="1:11" s="75" customFormat="1" ht="31.5" customHeight="1" x14ac:dyDescent="0.25">
      <c r="A254" s="335" t="s">
        <v>90</v>
      </c>
      <c r="B254" s="334" t="s">
        <v>81</v>
      </c>
      <c r="C254" s="334" t="s">
        <v>96</v>
      </c>
      <c r="D254" s="334" t="s">
        <v>310</v>
      </c>
      <c r="E254" s="118" t="s">
        <v>91</v>
      </c>
      <c r="F254" s="342">
        <f>'Пр.4 Ведом23'!G169+'Пр.4 Ведом23'!G335</f>
        <v>6.8584300000000002</v>
      </c>
      <c r="G254" s="565">
        <f>'Пр.4 Ведом23'!H169+'Пр.4 Ведом23'!H335</f>
        <v>6.8584300000000002</v>
      </c>
      <c r="H254" s="114">
        <f t="shared" si="8"/>
        <v>100</v>
      </c>
      <c r="I254" s="132"/>
      <c r="J254" s="58"/>
      <c r="K254" s="132"/>
    </row>
    <row r="255" spans="1:11" s="75" customFormat="1" ht="31.5" x14ac:dyDescent="0.25">
      <c r="A255" s="180" t="s">
        <v>450</v>
      </c>
      <c r="B255" s="117" t="s">
        <v>81</v>
      </c>
      <c r="C255" s="117" t="s">
        <v>96</v>
      </c>
      <c r="D255" s="117" t="s">
        <v>316</v>
      </c>
      <c r="E255" s="119"/>
      <c r="F255" s="343">
        <f t="shared" ref="F255:G257" si="11">F256</f>
        <v>15</v>
      </c>
      <c r="G255" s="566">
        <f t="shared" si="11"/>
        <v>15</v>
      </c>
      <c r="H255" s="113">
        <f t="shared" si="8"/>
        <v>100</v>
      </c>
      <c r="I255" s="132"/>
      <c r="J255" s="58"/>
      <c r="K255" s="132"/>
    </row>
    <row r="256" spans="1:11" s="75" customFormat="1" ht="31.5" x14ac:dyDescent="0.25">
      <c r="A256" s="26" t="s">
        <v>272</v>
      </c>
      <c r="B256" s="334" t="s">
        <v>81</v>
      </c>
      <c r="C256" s="334" t="s">
        <v>96</v>
      </c>
      <c r="D256" s="334" t="s">
        <v>311</v>
      </c>
      <c r="E256" s="118"/>
      <c r="F256" s="342">
        <f t="shared" si="11"/>
        <v>15</v>
      </c>
      <c r="G256" s="565">
        <f t="shared" si="11"/>
        <v>15</v>
      </c>
      <c r="H256" s="114">
        <f t="shared" si="8"/>
        <v>100</v>
      </c>
      <c r="I256" s="132"/>
      <c r="J256" s="58"/>
      <c r="K256" s="132"/>
    </row>
    <row r="257" spans="1:11" s="75" customFormat="1" ht="31.5" x14ac:dyDescent="0.25">
      <c r="A257" s="335" t="s">
        <v>88</v>
      </c>
      <c r="B257" s="334" t="s">
        <v>81</v>
      </c>
      <c r="C257" s="334" t="s">
        <v>96</v>
      </c>
      <c r="D257" s="334" t="s">
        <v>311</v>
      </c>
      <c r="E257" s="118" t="s">
        <v>89</v>
      </c>
      <c r="F257" s="342">
        <f t="shared" si="11"/>
        <v>15</v>
      </c>
      <c r="G257" s="565">
        <f t="shared" si="11"/>
        <v>15</v>
      </c>
      <c r="H257" s="114">
        <f t="shared" si="8"/>
        <v>100</v>
      </c>
      <c r="I257" s="132"/>
      <c r="J257" s="58"/>
      <c r="K257" s="132"/>
    </row>
    <row r="258" spans="1:11" s="75" customFormat="1" ht="31.5" customHeight="1" x14ac:dyDescent="0.25">
      <c r="A258" s="335" t="s">
        <v>90</v>
      </c>
      <c r="B258" s="334" t="s">
        <v>81</v>
      </c>
      <c r="C258" s="334" t="s">
        <v>96</v>
      </c>
      <c r="D258" s="334" t="s">
        <v>311</v>
      </c>
      <c r="E258" s="118" t="s">
        <v>91</v>
      </c>
      <c r="F258" s="342">
        <f>'Пр.4 Ведом23'!G173</f>
        <v>15</v>
      </c>
      <c r="G258" s="565">
        <f>'Пр.4 Ведом23'!H173</f>
        <v>15</v>
      </c>
      <c r="H258" s="114">
        <f t="shared" si="8"/>
        <v>100</v>
      </c>
      <c r="I258" s="132"/>
      <c r="J258" s="58"/>
      <c r="K258" s="132"/>
    </row>
    <row r="259" spans="1:11" s="75" customFormat="1" ht="66" customHeight="1" x14ac:dyDescent="0.25">
      <c r="A259" s="130" t="s">
        <v>899</v>
      </c>
      <c r="B259" s="7" t="s">
        <v>81</v>
      </c>
      <c r="C259" s="7" t="s">
        <v>96</v>
      </c>
      <c r="D259" s="74" t="s">
        <v>291</v>
      </c>
      <c r="E259" s="7"/>
      <c r="F259" s="343">
        <f t="shared" ref="F259:G262" si="12">F260</f>
        <v>45</v>
      </c>
      <c r="G259" s="566">
        <f t="shared" si="12"/>
        <v>45</v>
      </c>
      <c r="H259" s="113">
        <f t="shared" si="8"/>
        <v>100</v>
      </c>
      <c r="I259" s="132"/>
      <c r="J259" s="58"/>
      <c r="K259" s="132"/>
    </row>
    <row r="260" spans="1:11" ht="47.25" x14ac:dyDescent="0.25">
      <c r="A260" s="81" t="s">
        <v>317</v>
      </c>
      <c r="B260" s="7" t="s">
        <v>81</v>
      </c>
      <c r="C260" s="7" t="s">
        <v>96</v>
      </c>
      <c r="D260" s="74" t="s">
        <v>491</v>
      </c>
      <c r="E260" s="7"/>
      <c r="F260" s="343">
        <f t="shared" si="12"/>
        <v>45</v>
      </c>
      <c r="G260" s="566">
        <f t="shared" si="12"/>
        <v>45</v>
      </c>
      <c r="H260" s="113">
        <f t="shared" si="8"/>
        <v>100</v>
      </c>
    </row>
    <row r="261" spans="1:11" ht="31.5" x14ac:dyDescent="0.25">
      <c r="A261" s="66" t="s">
        <v>108</v>
      </c>
      <c r="B261" s="8" t="s">
        <v>81</v>
      </c>
      <c r="C261" s="8" t="s">
        <v>96</v>
      </c>
      <c r="D261" s="351" t="s">
        <v>318</v>
      </c>
      <c r="E261" s="8"/>
      <c r="F261" s="342">
        <f t="shared" si="12"/>
        <v>45</v>
      </c>
      <c r="G261" s="565">
        <f t="shared" si="12"/>
        <v>45</v>
      </c>
      <c r="H261" s="114">
        <f t="shared" si="8"/>
        <v>100</v>
      </c>
    </row>
    <row r="262" spans="1:11" s="75" customFormat="1" ht="31.5" x14ac:dyDescent="0.25">
      <c r="A262" s="335" t="s">
        <v>88</v>
      </c>
      <c r="B262" s="8" t="s">
        <v>81</v>
      </c>
      <c r="C262" s="8" t="s">
        <v>96</v>
      </c>
      <c r="D262" s="351" t="s">
        <v>318</v>
      </c>
      <c r="E262" s="8" t="s">
        <v>89</v>
      </c>
      <c r="F262" s="342">
        <f t="shared" si="12"/>
        <v>45</v>
      </c>
      <c r="G262" s="565">
        <f t="shared" si="12"/>
        <v>45</v>
      </c>
      <c r="H262" s="114">
        <f t="shared" si="8"/>
        <v>100</v>
      </c>
      <c r="I262" s="132"/>
      <c r="J262" s="132"/>
      <c r="K262" s="132"/>
    </row>
    <row r="263" spans="1:11" ht="31.5" customHeight="1" x14ac:dyDescent="0.25">
      <c r="A263" s="335" t="s">
        <v>90</v>
      </c>
      <c r="B263" s="8" t="s">
        <v>81</v>
      </c>
      <c r="C263" s="8" t="s">
        <v>96</v>
      </c>
      <c r="D263" s="351" t="s">
        <v>318</v>
      </c>
      <c r="E263" s="8" t="s">
        <v>91</v>
      </c>
      <c r="F263" s="342">
        <f>'Пр.4 Ведом23'!G721+'Пр.4 Ведом23'!G178+'Пр.4 Ведом23'!G953+'Пр.4 Ведом23'!G340</f>
        <v>45</v>
      </c>
      <c r="G263" s="565">
        <f>'Пр.4 Ведом23'!H721+'Пр.4 Ведом23'!H178+'Пр.4 Ведом23'!H953+'Пр.4 Ведом23'!H340</f>
        <v>45</v>
      </c>
      <c r="H263" s="114">
        <f t="shared" si="8"/>
        <v>100</v>
      </c>
    </row>
    <row r="264" spans="1:11" ht="63" x14ac:dyDescent="0.25">
      <c r="A264" s="130" t="s">
        <v>900</v>
      </c>
      <c r="B264" s="7" t="s">
        <v>81</v>
      </c>
      <c r="C264" s="7" t="s">
        <v>96</v>
      </c>
      <c r="D264" s="74" t="s">
        <v>788</v>
      </c>
      <c r="E264" s="7"/>
      <c r="F264" s="343">
        <f>F265</f>
        <v>29.84</v>
      </c>
      <c r="G264" s="566">
        <f>G265</f>
        <v>29.84</v>
      </c>
      <c r="H264" s="113">
        <f t="shared" si="8"/>
        <v>100</v>
      </c>
    </row>
    <row r="265" spans="1:11" ht="47.25" x14ac:dyDescent="0.25">
      <c r="A265" s="130" t="s">
        <v>792</v>
      </c>
      <c r="B265" s="7" t="s">
        <v>81</v>
      </c>
      <c r="C265" s="7" t="s">
        <v>96</v>
      </c>
      <c r="D265" s="74" t="s">
        <v>789</v>
      </c>
      <c r="E265" s="7"/>
      <c r="F265" s="343">
        <f>F266</f>
        <v>29.84</v>
      </c>
      <c r="G265" s="566">
        <f>G266</f>
        <v>29.84</v>
      </c>
      <c r="H265" s="113">
        <f t="shared" si="8"/>
        <v>100</v>
      </c>
    </row>
    <row r="266" spans="1:11" s="110" customFormat="1" ht="31.5" x14ac:dyDescent="0.25">
      <c r="A266" s="335" t="s">
        <v>793</v>
      </c>
      <c r="B266" s="8" t="s">
        <v>81</v>
      </c>
      <c r="C266" s="8" t="s">
        <v>96</v>
      </c>
      <c r="D266" s="351" t="s">
        <v>790</v>
      </c>
      <c r="E266" s="8"/>
      <c r="F266" s="342">
        <f>F269+F267</f>
        <v>29.84</v>
      </c>
      <c r="G266" s="565">
        <f>G269+G267</f>
        <v>29.84</v>
      </c>
      <c r="H266" s="114">
        <f t="shared" si="8"/>
        <v>100</v>
      </c>
      <c r="I266" s="132"/>
      <c r="J266" s="132"/>
      <c r="K266" s="132"/>
    </row>
    <row r="267" spans="1:11" s="332" customFormat="1" ht="30.75" customHeight="1" x14ac:dyDescent="0.25">
      <c r="A267" s="335" t="s">
        <v>88</v>
      </c>
      <c r="B267" s="8" t="s">
        <v>81</v>
      </c>
      <c r="C267" s="8" t="s">
        <v>96</v>
      </c>
      <c r="D267" s="436" t="s">
        <v>790</v>
      </c>
      <c r="E267" s="8" t="s">
        <v>89</v>
      </c>
      <c r="F267" s="342">
        <f>F268</f>
        <v>11.84</v>
      </c>
      <c r="G267" s="565">
        <f>G268</f>
        <v>11.84</v>
      </c>
      <c r="H267" s="114">
        <f t="shared" ref="H267:H330" si="13">G267/F267*100</f>
        <v>100</v>
      </c>
      <c r="I267" s="333"/>
      <c r="J267" s="333"/>
      <c r="K267" s="333"/>
    </row>
    <row r="268" spans="1:11" s="332" customFormat="1" ht="27.75" customHeight="1" x14ac:dyDescent="0.25">
      <c r="A268" s="335" t="s">
        <v>90</v>
      </c>
      <c r="B268" s="8" t="s">
        <v>81</v>
      </c>
      <c r="C268" s="8" t="s">
        <v>96</v>
      </c>
      <c r="D268" s="436" t="s">
        <v>790</v>
      </c>
      <c r="E268" s="8" t="s">
        <v>91</v>
      </c>
      <c r="F268" s="342">
        <f>'Пр.4 Ведом23'!G183</f>
        <v>11.84</v>
      </c>
      <c r="G268" s="565">
        <f>'Пр.4 Ведом23'!H183</f>
        <v>11.84</v>
      </c>
      <c r="H268" s="114">
        <f t="shared" si="13"/>
        <v>100</v>
      </c>
      <c r="I268" s="333"/>
      <c r="J268" s="333"/>
      <c r="K268" s="333"/>
    </row>
    <row r="269" spans="1:11" s="110" customFormat="1" ht="31.5" x14ac:dyDescent="0.25">
      <c r="A269" s="176" t="s">
        <v>137</v>
      </c>
      <c r="B269" s="8" t="s">
        <v>81</v>
      </c>
      <c r="C269" s="8" t="s">
        <v>96</v>
      </c>
      <c r="D269" s="351" t="s">
        <v>790</v>
      </c>
      <c r="E269" s="8" t="s">
        <v>138</v>
      </c>
      <c r="F269" s="342">
        <f>F270</f>
        <v>18</v>
      </c>
      <c r="G269" s="565">
        <f>G270</f>
        <v>18</v>
      </c>
      <c r="H269" s="114">
        <f t="shared" si="13"/>
        <v>100</v>
      </c>
      <c r="I269" s="132"/>
      <c r="J269" s="132"/>
      <c r="K269" s="132"/>
    </row>
    <row r="270" spans="1:11" s="110" customFormat="1" ht="15.75" x14ac:dyDescent="0.25">
      <c r="A270" s="335" t="s">
        <v>794</v>
      </c>
      <c r="B270" s="8" t="s">
        <v>81</v>
      </c>
      <c r="C270" s="8" t="s">
        <v>96</v>
      </c>
      <c r="D270" s="351" t="s">
        <v>790</v>
      </c>
      <c r="E270" s="8" t="s">
        <v>791</v>
      </c>
      <c r="F270" s="342">
        <f>'Пр.4 Ведом23'!G185</f>
        <v>18</v>
      </c>
      <c r="G270" s="565">
        <f>'Пр.4 Ведом23'!H185</f>
        <v>18</v>
      </c>
      <c r="H270" s="114">
        <f t="shared" si="13"/>
        <v>100</v>
      </c>
      <c r="I270" s="132"/>
      <c r="J270" s="132"/>
      <c r="K270" s="132"/>
    </row>
    <row r="271" spans="1:11" s="131" customFormat="1" ht="63" x14ac:dyDescent="0.25">
      <c r="A271" s="130" t="s">
        <v>901</v>
      </c>
      <c r="B271" s="7" t="s">
        <v>81</v>
      </c>
      <c r="C271" s="7" t="s">
        <v>96</v>
      </c>
      <c r="D271" s="74" t="s">
        <v>292</v>
      </c>
      <c r="E271" s="7"/>
      <c r="F271" s="343">
        <f t="shared" ref="F271:G274" si="14">F272</f>
        <v>46.6</v>
      </c>
      <c r="G271" s="566">
        <f t="shared" si="14"/>
        <v>46.6</v>
      </c>
      <c r="H271" s="113">
        <f t="shared" si="13"/>
        <v>100</v>
      </c>
      <c r="I271" s="132"/>
      <c r="J271" s="132"/>
      <c r="K271" s="132"/>
    </row>
    <row r="272" spans="1:11" s="131" customFormat="1" ht="31.5" x14ac:dyDescent="0.25">
      <c r="A272" s="30" t="s">
        <v>319</v>
      </c>
      <c r="B272" s="7" t="s">
        <v>81</v>
      </c>
      <c r="C272" s="7" t="s">
        <v>96</v>
      </c>
      <c r="D272" s="74" t="s">
        <v>327</v>
      </c>
      <c r="E272" s="7"/>
      <c r="F272" s="343">
        <f t="shared" si="14"/>
        <v>46.6</v>
      </c>
      <c r="G272" s="566">
        <f t="shared" si="14"/>
        <v>46.6</v>
      </c>
      <c r="H272" s="113">
        <f t="shared" si="13"/>
        <v>100</v>
      </c>
      <c r="I272" s="132"/>
      <c r="J272" s="132"/>
      <c r="K272" s="132"/>
    </row>
    <row r="273" spans="1:11" s="131" customFormat="1" ht="15.75" x14ac:dyDescent="0.25">
      <c r="A273" s="26" t="s">
        <v>296</v>
      </c>
      <c r="B273" s="8" t="s">
        <v>81</v>
      </c>
      <c r="C273" s="8" t="s">
        <v>96</v>
      </c>
      <c r="D273" s="351" t="s">
        <v>320</v>
      </c>
      <c r="E273" s="8"/>
      <c r="F273" s="342">
        <f t="shared" si="14"/>
        <v>46.6</v>
      </c>
      <c r="G273" s="565">
        <f t="shared" si="14"/>
        <v>46.6</v>
      </c>
      <c r="H273" s="114">
        <f t="shared" si="13"/>
        <v>100</v>
      </c>
      <c r="I273" s="132"/>
      <c r="J273" s="132"/>
      <c r="K273" s="132"/>
    </row>
    <row r="274" spans="1:11" s="131" customFormat="1" ht="31.5" x14ac:dyDescent="0.25">
      <c r="A274" s="335" t="s">
        <v>88</v>
      </c>
      <c r="B274" s="8" t="s">
        <v>81</v>
      </c>
      <c r="C274" s="8" t="s">
        <v>96</v>
      </c>
      <c r="D274" s="351" t="s">
        <v>320</v>
      </c>
      <c r="E274" s="8" t="s">
        <v>89</v>
      </c>
      <c r="F274" s="342">
        <f t="shared" si="14"/>
        <v>46.6</v>
      </c>
      <c r="G274" s="565">
        <f t="shared" si="14"/>
        <v>46.6</v>
      </c>
      <c r="H274" s="114">
        <f t="shared" si="13"/>
        <v>100</v>
      </c>
      <c r="I274" s="132"/>
      <c r="J274" s="132"/>
      <c r="K274" s="132"/>
    </row>
    <row r="275" spans="1:11" s="131" customFormat="1" ht="31.5" customHeight="1" x14ac:dyDescent="0.25">
      <c r="A275" s="335" t="s">
        <v>90</v>
      </c>
      <c r="B275" s="8" t="s">
        <v>81</v>
      </c>
      <c r="C275" s="8" t="s">
        <v>96</v>
      </c>
      <c r="D275" s="351" t="s">
        <v>320</v>
      </c>
      <c r="E275" s="8" t="s">
        <v>91</v>
      </c>
      <c r="F275" s="342">
        <f>'Пр.4 Ведом23'!G190</f>
        <v>46.6</v>
      </c>
      <c r="G275" s="565">
        <f>'Пр.4 Ведом23'!H190</f>
        <v>46.6</v>
      </c>
      <c r="H275" s="114">
        <f t="shared" si="13"/>
        <v>100</v>
      </c>
      <c r="I275" s="132"/>
      <c r="J275" s="132"/>
      <c r="K275" s="132"/>
    </row>
    <row r="276" spans="1:11" s="131" customFormat="1" ht="15.75" hidden="1" customHeight="1" x14ac:dyDescent="0.25">
      <c r="A276" s="116" t="s">
        <v>118</v>
      </c>
      <c r="B276" s="117" t="s">
        <v>119</v>
      </c>
      <c r="C276" s="117"/>
      <c r="D276" s="117"/>
      <c r="E276" s="117"/>
      <c r="F276" s="343">
        <f t="shared" ref="F276:G281" si="15">F277</f>
        <v>0</v>
      </c>
      <c r="G276" s="566">
        <f t="shared" si="15"/>
        <v>0</v>
      </c>
      <c r="H276" s="114" t="e">
        <f t="shared" si="13"/>
        <v>#DIV/0!</v>
      </c>
      <c r="I276" s="132"/>
      <c r="J276" s="132"/>
      <c r="K276" s="132"/>
    </row>
    <row r="277" spans="1:11" s="131" customFormat="1" ht="15.75" hidden="1" customHeight="1" x14ac:dyDescent="0.25">
      <c r="A277" s="116" t="s">
        <v>121</v>
      </c>
      <c r="B277" s="117" t="s">
        <v>119</v>
      </c>
      <c r="C277" s="117" t="s">
        <v>122</v>
      </c>
      <c r="D277" s="117"/>
      <c r="E277" s="117"/>
      <c r="F277" s="343">
        <f t="shared" si="15"/>
        <v>0</v>
      </c>
      <c r="G277" s="566">
        <f t="shared" si="15"/>
        <v>0</v>
      </c>
      <c r="H277" s="114" t="e">
        <f t="shared" si="13"/>
        <v>#DIV/0!</v>
      </c>
      <c r="I277" s="132"/>
      <c r="J277" s="132"/>
      <c r="K277" s="132"/>
    </row>
    <row r="278" spans="1:11" ht="15.75" hidden="1" customHeight="1" x14ac:dyDescent="0.25">
      <c r="A278" s="116" t="s">
        <v>97</v>
      </c>
      <c r="B278" s="117" t="s">
        <v>119</v>
      </c>
      <c r="C278" s="117" t="s">
        <v>122</v>
      </c>
      <c r="D278" s="117" t="s">
        <v>329</v>
      </c>
      <c r="E278" s="117"/>
      <c r="F278" s="302">
        <f t="shared" si="15"/>
        <v>0</v>
      </c>
      <c r="G278" s="567">
        <f t="shared" si="15"/>
        <v>0</v>
      </c>
      <c r="H278" s="114" t="e">
        <f t="shared" si="13"/>
        <v>#DIV/0!</v>
      </c>
    </row>
    <row r="279" spans="1:11" ht="31.5" hidden="1" customHeight="1" x14ac:dyDescent="0.25">
      <c r="A279" s="116" t="s">
        <v>330</v>
      </c>
      <c r="B279" s="117" t="s">
        <v>119</v>
      </c>
      <c r="C279" s="117" t="s">
        <v>122</v>
      </c>
      <c r="D279" s="117" t="s">
        <v>328</v>
      </c>
      <c r="E279" s="117"/>
      <c r="F279" s="302">
        <f t="shared" si="15"/>
        <v>0</v>
      </c>
      <c r="G279" s="567">
        <f t="shared" si="15"/>
        <v>0</v>
      </c>
      <c r="H279" s="114" t="e">
        <f t="shared" si="13"/>
        <v>#DIV/0!</v>
      </c>
    </row>
    <row r="280" spans="1:11" ht="15.75" hidden="1" customHeight="1" x14ac:dyDescent="0.25">
      <c r="A280" s="335" t="s">
        <v>123</v>
      </c>
      <c r="B280" s="334" t="s">
        <v>119</v>
      </c>
      <c r="C280" s="334" t="s">
        <v>122</v>
      </c>
      <c r="D280" s="334" t="s">
        <v>331</v>
      </c>
      <c r="E280" s="334"/>
      <c r="F280" s="344">
        <f t="shared" si="15"/>
        <v>0</v>
      </c>
      <c r="G280" s="344">
        <f t="shared" si="15"/>
        <v>0</v>
      </c>
      <c r="H280" s="114" t="e">
        <f t="shared" si="13"/>
        <v>#DIV/0!</v>
      </c>
    </row>
    <row r="281" spans="1:11" ht="31.5" hidden="1" customHeight="1" x14ac:dyDescent="0.25">
      <c r="A281" s="335" t="s">
        <v>114</v>
      </c>
      <c r="B281" s="334" t="s">
        <v>119</v>
      </c>
      <c r="C281" s="334" t="s">
        <v>122</v>
      </c>
      <c r="D281" s="334" t="s">
        <v>331</v>
      </c>
      <c r="E281" s="334" t="s">
        <v>89</v>
      </c>
      <c r="F281" s="344">
        <f t="shared" si="15"/>
        <v>0</v>
      </c>
      <c r="G281" s="344">
        <f t="shared" si="15"/>
        <v>0</v>
      </c>
      <c r="H281" s="114" t="e">
        <f t="shared" si="13"/>
        <v>#DIV/0!</v>
      </c>
    </row>
    <row r="282" spans="1:11" ht="31.5" hidden="1" customHeight="1" x14ac:dyDescent="0.25">
      <c r="A282" s="335" t="s">
        <v>90</v>
      </c>
      <c r="B282" s="334" t="s">
        <v>119</v>
      </c>
      <c r="C282" s="334" t="s">
        <v>122</v>
      </c>
      <c r="D282" s="334" t="s">
        <v>331</v>
      </c>
      <c r="E282" s="334" t="s">
        <v>91</v>
      </c>
      <c r="F282" s="344">
        <f>'Пр.4 Ведом23'!G197</f>
        <v>0</v>
      </c>
      <c r="G282" s="344">
        <f>'Пр.4 Ведом23'!H197</f>
        <v>0</v>
      </c>
      <c r="H282" s="114" t="e">
        <f t="shared" si="13"/>
        <v>#DIV/0!</v>
      </c>
    </row>
    <row r="283" spans="1:11" ht="31.5" x14ac:dyDescent="0.25">
      <c r="A283" s="116" t="s">
        <v>124</v>
      </c>
      <c r="B283" s="117" t="s">
        <v>120</v>
      </c>
      <c r="C283" s="117"/>
      <c r="D283" s="117"/>
      <c r="E283" s="117"/>
      <c r="F283" s="302">
        <f>F284</f>
        <v>10837.23963</v>
      </c>
      <c r="G283" s="567">
        <f>G284</f>
        <v>9990.7717600000014</v>
      </c>
      <c r="H283" s="113">
        <f t="shared" si="13"/>
        <v>92.189266834547254</v>
      </c>
    </row>
    <row r="284" spans="1:11" ht="47.25" x14ac:dyDescent="0.25">
      <c r="A284" s="116" t="s">
        <v>640</v>
      </c>
      <c r="B284" s="117" t="s">
        <v>120</v>
      </c>
      <c r="C284" s="117" t="s">
        <v>134</v>
      </c>
      <c r="D284" s="334"/>
      <c r="E284" s="334"/>
      <c r="F284" s="302">
        <f>F285+F310+F315</f>
        <v>10837.23963</v>
      </c>
      <c r="G284" s="567">
        <f>G285+G310+G315</f>
        <v>9990.7717600000014</v>
      </c>
      <c r="H284" s="113">
        <f t="shared" si="13"/>
        <v>92.189266834547254</v>
      </c>
    </row>
    <row r="285" spans="1:11" ht="15.75" x14ac:dyDescent="0.25">
      <c r="A285" s="116" t="s">
        <v>97</v>
      </c>
      <c r="B285" s="117" t="s">
        <v>120</v>
      </c>
      <c r="C285" s="117" t="s">
        <v>134</v>
      </c>
      <c r="D285" s="117" t="s">
        <v>329</v>
      </c>
      <c r="E285" s="117"/>
      <c r="F285" s="302">
        <f>F286+F300</f>
        <v>10008.644829999999</v>
      </c>
      <c r="G285" s="567">
        <f>G286+G300</f>
        <v>9703.7514400000018</v>
      </c>
      <c r="H285" s="113">
        <f t="shared" si="13"/>
        <v>96.953699574930383</v>
      </c>
    </row>
    <row r="286" spans="1:11" ht="15.75" x14ac:dyDescent="0.25">
      <c r="A286" s="116" t="s">
        <v>736</v>
      </c>
      <c r="B286" s="117" t="s">
        <v>120</v>
      </c>
      <c r="C286" s="117" t="s">
        <v>134</v>
      </c>
      <c r="D286" s="117" t="s">
        <v>384</v>
      </c>
      <c r="E286" s="117"/>
      <c r="F286" s="302">
        <f>F287+F290+F297</f>
        <v>9588.5118699999985</v>
      </c>
      <c r="G286" s="567">
        <f>G287+G290+G297</f>
        <v>9588.0614400000013</v>
      </c>
      <c r="H286" s="113">
        <f t="shared" si="13"/>
        <v>99.99530239930759</v>
      </c>
    </row>
    <row r="287" spans="1:11" ht="47.25" x14ac:dyDescent="0.25">
      <c r="A287" s="335" t="s">
        <v>304</v>
      </c>
      <c r="B287" s="334" t="s">
        <v>120</v>
      </c>
      <c r="C287" s="334" t="s">
        <v>134</v>
      </c>
      <c r="D287" s="334" t="s">
        <v>387</v>
      </c>
      <c r="E287" s="334"/>
      <c r="F287" s="344">
        <f>F288</f>
        <v>181.60300000000001</v>
      </c>
      <c r="G287" s="344">
        <f>G288</f>
        <v>328.22300000000001</v>
      </c>
      <c r="H287" s="114">
        <f t="shared" si="13"/>
        <v>180.73655170894753</v>
      </c>
    </row>
    <row r="288" spans="1:11" ht="78.75" x14ac:dyDescent="0.25">
      <c r="A288" s="335" t="s">
        <v>84</v>
      </c>
      <c r="B288" s="334" t="s">
        <v>120</v>
      </c>
      <c r="C288" s="334" t="s">
        <v>134</v>
      </c>
      <c r="D288" s="334" t="s">
        <v>387</v>
      </c>
      <c r="E288" s="334" t="s">
        <v>85</v>
      </c>
      <c r="F288" s="344">
        <f>F289</f>
        <v>181.60300000000001</v>
      </c>
      <c r="G288" s="344">
        <f>G289</f>
        <v>328.22300000000001</v>
      </c>
      <c r="H288" s="114">
        <f t="shared" si="13"/>
        <v>180.73655170894753</v>
      </c>
    </row>
    <row r="289" spans="1:11" ht="31.5" x14ac:dyDescent="0.25">
      <c r="A289" s="335" t="s">
        <v>168</v>
      </c>
      <c r="B289" s="334" t="s">
        <v>120</v>
      </c>
      <c r="C289" s="334" t="s">
        <v>134</v>
      </c>
      <c r="D289" s="334" t="s">
        <v>387</v>
      </c>
      <c r="E289" s="334" t="s">
        <v>117</v>
      </c>
      <c r="F289" s="344">
        <f>'Пр.4 Ведом23'!G204</f>
        <v>181.60300000000001</v>
      </c>
      <c r="G289" s="344">
        <f>'Пр.4 Ведом23'!H204</f>
        <v>328.22300000000001</v>
      </c>
      <c r="H289" s="114">
        <f t="shared" si="13"/>
        <v>180.73655170894753</v>
      </c>
    </row>
    <row r="290" spans="1:11" ht="15.75" x14ac:dyDescent="0.25">
      <c r="A290" s="335" t="s">
        <v>283</v>
      </c>
      <c r="B290" s="334" t="s">
        <v>120</v>
      </c>
      <c r="C290" s="334" t="s">
        <v>134</v>
      </c>
      <c r="D290" s="334" t="s">
        <v>386</v>
      </c>
      <c r="E290" s="334"/>
      <c r="F290" s="344">
        <f>F291+F293+F295</f>
        <v>9265.8988699999991</v>
      </c>
      <c r="G290" s="344">
        <f>G291+G293+G295</f>
        <v>9118.8284400000011</v>
      </c>
      <c r="H290" s="114">
        <f t="shared" si="13"/>
        <v>98.412777518259304</v>
      </c>
    </row>
    <row r="291" spans="1:11" ht="78.75" x14ac:dyDescent="0.25">
      <c r="A291" s="335" t="s">
        <v>84</v>
      </c>
      <c r="B291" s="334" t="s">
        <v>120</v>
      </c>
      <c r="C291" s="334" t="s">
        <v>134</v>
      </c>
      <c r="D291" s="334" t="s">
        <v>386</v>
      </c>
      <c r="E291" s="334" t="s">
        <v>85</v>
      </c>
      <c r="F291" s="344">
        <f>F292</f>
        <v>8593.1758699999991</v>
      </c>
      <c r="G291" s="344">
        <f>G292</f>
        <v>8592.9254400000009</v>
      </c>
      <c r="H291" s="114">
        <f t="shared" si="13"/>
        <v>99.997085710757148</v>
      </c>
    </row>
    <row r="292" spans="1:11" ht="31.5" x14ac:dyDescent="0.25">
      <c r="A292" s="335" t="s">
        <v>168</v>
      </c>
      <c r="B292" s="334" t="s">
        <v>120</v>
      </c>
      <c r="C292" s="334" t="s">
        <v>134</v>
      </c>
      <c r="D292" s="334" t="s">
        <v>386</v>
      </c>
      <c r="E292" s="334" t="s">
        <v>117</v>
      </c>
      <c r="F292" s="344">
        <f>'Пр.4 Ведом23'!G207</f>
        <v>8593.1758699999991</v>
      </c>
      <c r="G292" s="344">
        <f>'Пр.4 Ведом23'!H207</f>
        <v>8592.9254400000009</v>
      </c>
      <c r="H292" s="114">
        <f t="shared" si="13"/>
        <v>99.997085710757148</v>
      </c>
    </row>
    <row r="293" spans="1:11" ht="31.5" x14ac:dyDescent="0.25">
      <c r="A293" s="335" t="s">
        <v>88</v>
      </c>
      <c r="B293" s="334" t="s">
        <v>120</v>
      </c>
      <c r="C293" s="334" t="s">
        <v>134</v>
      </c>
      <c r="D293" s="334" t="s">
        <v>386</v>
      </c>
      <c r="E293" s="334" t="s">
        <v>89</v>
      </c>
      <c r="F293" s="344">
        <f>F294</f>
        <v>672.72299999999984</v>
      </c>
      <c r="G293" s="344">
        <f>G294</f>
        <v>525.90300000000002</v>
      </c>
      <c r="H293" s="114">
        <f t="shared" si="13"/>
        <v>78.175266788856661</v>
      </c>
    </row>
    <row r="294" spans="1:11" ht="31.5" customHeight="1" x14ac:dyDescent="0.25">
      <c r="A294" s="335" t="s">
        <v>90</v>
      </c>
      <c r="B294" s="334" t="s">
        <v>120</v>
      </c>
      <c r="C294" s="334" t="s">
        <v>134</v>
      </c>
      <c r="D294" s="334" t="s">
        <v>386</v>
      </c>
      <c r="E294" s="334" t="s">
        <v>91</v>
      </c>
      <c r="F294" s="344">
        <f>'Пр.4 Ведом23'!G209</f>
        <v>672.72299999999984</v>
      </c>
      <c r="G294" s="344">
        <f>'Пр.4 Ведом23'!H209</f>
        <v>525.90300000000002</v>
      </c>
      <c r="H294" s="114">
        <f t="shared" si="13"/>
        <v>78.175266788856661</v>
      </c>
    </row>
    <row r="295" spans="1:11" ht="15.75" hidden="1" customHeight="1" x14ac:dyDescent="0.25">
      <c r="A295" s="335" t="s">
        <v>92</v>
      </c>
      <c r="B295" s="334" t="s">
        <v>120</v>
      </c>
      <c r="C295" s="334" t="s">
        <v>134</v>
      </c>
      <c r="D295" s="334" t="s">
        <v>386</v>
      </c>
      <c r="E295" s="334" t="s">
        <v>98</v>
      </c>
      <c r="F295" s="344">
        <f>F296</f>
        <v>0</v>
      </c>
      <c r="G295" s="344">
        <f>G296</f>
        <v>0</v>
      </c>
      <c r="H295" s="114" t="e">
        <f t="shared" si="13"/>
        <v>#DIV/0!</v>
      </c>
    </row>
    <row r="296" spans="1:11" s="75" customFormat="1" ht="15.75" hidden="1" customHeight="1" x14ac:dyDescent="0.25">
      <c r="A296" s="335" t="s">
        <v>223</v>
      </c>
      <c r="B296" s="334" t="s">
        <v>120</v>
      </c>
      <c r="C296" s="334" t="s">
        <v>134</v>
      </c>
      <c r="D296" s="334" t="s">
        <v>386</v>
      </c>
      <c r="E296" s="334" t="s">
        <v>94</v>
      </c>
      <c r="F296" s="344">
        <f>'Пр.4 Ведом23'!G211</f>
        <v>0</v>
      </c>
      <c r="G296" s="344">
        <f>'Пр.4 Ведом23'!H211</f>
        <v>0</v>
      </c>
      <c r="H296" s="114" t="e">
        <f t="shared" si="13"/>
        <v>#DIV/0!</v>
      </c>
      <c r="I296" s="132"/>
      <c r="J296" s="132"/>
      <c r="K296" s="132"/>
    </row>
    <row r="297" spans="1:11" s="332" customFormat="1" ht="31.5" x14ac:dyDescent="0.25">
      <c r="A297" s="335" t="s">
        <v>1118</v>
      </c>
      <c r="B297" s="334" t="s">
        <v>120</v>
      </c>
      <c r="C297" s="334" t="s">
        <v>134</v>
      </c>
      <c r="D297" s="334" t="s">
        <v>1119</v>
      </c>
      <c r="E297" s="334"/>
      <c r="F297" s="344">
        <f>F298</f>
        <v>141.01</v>
      </c>
      <c r="G297" s="344">
        <f>G298</f>
        <v>141.01</v>
      </c>
      <c r="H297" s="114">
        <f t="shared" si="13"/>
        <v>100</v>
      </c>
      <c r="I297" s="333"/>
      <c r="J297" s="333"/>
      <c r="K297" s="333"/>
    </row>
    <row r="298" spans="1:11" s="332" customFormat="1" ht="90" customHeight="1" x14ac:dyDescent="0.25">
      <c r="A298" s="335" t="s">
        <v>84</v>
      </c>
      <c r="B298" s="334" t="s">
        <v>120</v>
      </c>
      <c r="C298" s="334" t="s">
        <v>134</v>
      </c>
      <c r="D298" s="334" t="s">
        <v>1119</v>
      </c>
      <c r="E298" s="334" t="s">
        <v>85</v>
      </c>
      <c r="F298" s="344">
        <f>F299</f>
        <v>141.01</v>
      </c>
      <c r="G298" s="344">
        <f>G299</f>
        <v>141.01</v>
      </c>
      <c r="H298" s="114">
        <f t="shared" si="13"/>
        <v>100</v>
      </c>
      <c r="I298" s="333"/>
      <c r="J298" s="333"/>
      <c r="K298" s="333"/>
    </row>
    <row r="299" spans="1:11" s="332" customFormat="1" ht="31.5" x14ac:dyDescent="0.25">
      <c r="A299" s="335" t="s">
        <v>168</v>
      </c>
      <c r="B299" s="334" t="s">
        <v>120</v>
      </c>
      <c r="C299" s="334" t="s">
        <v>134</v>
      </c>
      <c r="D299" s="334" t="s">
        <v>1119</v>
      </c>
      <c r="E299" s="334" t="s">
        <v>117</v>
      </c>
      <c r="F299" s="344">
        <f>'Пр.4 Ведом23'!G214</f>
        <v>141.01</v>
      </c>
      <c r="G299" s="344">
        <f>'Пр.4 Ведом23'!H214</f>
        <v>141.01</v>
      </c>
      <c r="H299" s="114">
        <f t="shared" si="13"/>
        <v>100</v>
      </c>
      <c r="I299" s="333"/>
      <c r="J299" s="333"/>
      <c r="K299" s="333"/>
    </row>
    <row r="300" spans="1:11" ht="31.5" x14ac:dyDescent="0.25">
      <c r="A300" s="116" t="s">
        <v>330</v>
      </c>
      <c r="B300" s="117" t="s">
        <v>120</v>
      </c>
      <c r="C300" s="117" t="s">
        <v>134</v>
      </c>
      <c r="D300" s="117" t="s">
        <v>328</v>
      </c>
      <c r="E300" s="117"/>
      <c r="F300" s="302">
        <f>F301+F304+F307</f>
        <v>420.13296000000003</v>
      </c>
      <c r="G300" s="567">
        <f>G301+G304+G307</f>
        <v>115.69</v>
      </c>
      <c r="H300" s="113">
        <f t="shared" si="13"/>
        <v>27.536520819504375</v>
      </c>
    </row>
    <row r="301" spans="1:11" ht="47.25" x14ac:dyDescent="0.25">
      <c r="A301" s="335" t="s">
        <v>125</v>
      </c>
      <c r="B301" s="334" t="s">
        <v>120</v>
      </c>
      <c r="C301" s="334" t="s">
        <v>134</v>
      </c>
      <c r="D301" s="334" t="s">
        <v>332</v>
      </c>
      <c r="E301" s="334"/>
      <c r="F301" s="344">
        <f>F302</f>
        <v>420.13296000000003</v>
      </c>
      <c r="G301" s="344">
        <f>G302</f>
        <v>115.69</v>
      </c>
      <c r="H301" s="114">
        <f t="shared" si="13"/>
        <v>27.536520819504375</v>
      </c>
    </row>
    <row r="302" spans="1:11" ht="31.5" x14ac:dyDescent="0.25">
      <c r="A302" s="335" t="s">
        <v>114</v>
      </c>
      <c r="B302" s="334" t="s">
        <v>120</v>
      </c>
      <c r="C302" s="334" t="s">
        <v>134</v>
      </c>
      <c r="D302" s="334" t="s">
        <v>332</v>
      </c>
      <c r="E302" s="334" t="s">
        <v>89</v>
      </c>
      <c r="F302" s="344">
        <f>F303</f>
        <v>420.13296000000003</v>
      </c>
      <c r="G302" s="344">
        <f>G303</f>
        <v>115.69</v>
      </c>
      <c r="H302" s="114">
        <f t="shared" si="13"/>
        <v>27.536520819504375</v>
      </c>
    </row>
    <row r="303" spans="1:11" s="75" customFormat="1" ht="31.5" customHeight="1" x14ac:dyDescent="0.25">
      <c r="A303" s="335" t="s">
        <v>90</v>
      </c>
      <c r="B303" s="334" t="s">
        <v>120</v>
      </c>
      <c r="C303" s="334" t="s">
        <v>134</v>
      </c>
      <c r="D303" s="334" t="s">
        <v>332</v>
      </c>
      <c r="E303" s="334" t="s">
        <v>91</v>
      </c>
      <c r="F303" s="344">
        <f>'Пр.4 Ведом23'!G218</f>
        <v>420.13296000000003</v>
      </c>
      <c r="G303" s="344">
        <f>'Пр.4 Ведом23'!H218</f>
        <v>115.69</v>
      </c>
      <c r="H303" s="114">
        <f t="shared" si="13"/>
        <v>27.536520819504375</v>
      </c>
      <c r="I303" s="132"/>
      <c r="J303" s="132"/>
      <c r="K303" s="132"/>
    </row>
    <row r="304" spans="1:11" ht="19.5" hidden="1" customHeight="1" x14ac:dyDescent="0.25">
      <c r="A304" s="335" t="s">
        <v>126</v>
      </c>
      <c r="B304" s="334" t="s">
        <v>120</v>
      </c>
      <c r="C304" s="334" t="s">
        <v>134</v>
      </c>
      <c r="D304" s="334" t="s">
        <v>333</v>
      </c>
      <c r="E304" s="334"/>
      <c r="F304" s="344">
        <f>F305</f>
        <v>0</v>
      </c>
      <c r="G304" s="344">
        <f>G305</f>
        <v>0</v>
      </c>
      <c r="H304" s="114" t="e">
        <f t="shared" si="13"/>
        <v>#DIV/0!</v>
      </c>
    </row>
    <row r="305" spans="1:11" ht="31.5" hidden="1" customHeight="1" x14ac:dyDescent="0.25">
      <c r="A305" s="335" t="s">
        <v>114</v>
      </c>
      <c r="B305" s="334" t="s">
        <v>120</v>
      </c>
      <c r="C305" s="334" t="s">
        <v>134</v>
      </c>
      <c r="D305" s="334" t="s">
        <v>333</v>
      </c>
      <c r="E305" s="334" t="s">
        <v>89</v>
      </c>
      <c r="F305" s="344">
        <f>F306</f>
        <v>0</v>
      </c>
      <c r="G305" s="344">
        <f>G306</f>
        <v>0</v>
      </c>
      <c r="H305" s="114" t="e">
        <f t="shared" si="13"/>
        <v>#DIV/0!</v>
      </c>
    </row>
    <row r="306" spans="1:11" ht="31.5" hidden="1" customHeight="1" x14ac:dyDescent="0.25">
      <c r="A306" s="335" t="s">
        <v>90</v>
      </c>
      <c r="B306" s="334" t="s">
        <v>120</v>
      </c>
      <c r="C306" s="334" t="s">
        <v>134</v>
      </c>
      <c r="D306" s="334" t="s">
        <v>333</v>
      </c>
      <c r="E306" s="334" t="s">
        <v>91</v>
      </c>
      <c r="F306" s="344">
        <f>'Пр.4 Ведом23'!G221+'Пр.4 Ведом23'!G1124</f>
        <v>0</v>
      </c>
      <c r="G306" s="344">
        <f>'Пр.4 Ведом23'!H221+'Пр.4 Ведом23'!H1124</f>
        <v>0</v>
      </c>
      <c r="H306" s="114" t="e">
        <f t="shared" si="13"/>
        <v>#DIV/0!</v>
      </c>
    </row>
    <row r="307" spans="1:11" s="131" customFormat="1" ht="81" hidden="1" customHeight="1" x14ac:dyDescent="0.25">
      <c r="A307" s="335" t="s">
        <v>1069</v>
      </c>
      <c r="B307" s="334" t="s">
        <v>120</v>
      </c>
      <c r="C307" s="334" t="s">
        <v>134</v>
      </c>
      <c r="D307" s="334" t="s">
        <v>1060</v>
      </c>
      <c r="E307" s="118"/>
      <c r="F307" s="337">
        <f>F308</f>
        <v>0</v>
      </c>
      <c r="G307" s="337">
        <f>G308</f>
        <v>0</v>
      </c>
      <c r="H307" s="114" t="e">
        <f t="shared" si="13"/>
        <v>#DIV/0!</v>
      </c>
      <c r="I307" s="214"/>
      <c r="J307" s="214"/>
      <c r="K307" s="214"/>
    </row>
    <row r="308" spans="1:11" s="131" customFormat="1" ht="31.5" hidden="1" customHeight="1" x14ac:dyDescent="0.25">
      <c r="A308" s="335" t="s">
        <v>114</v>
      </c>
      <c r="B308" s="334" t="s">
        <v>120</v>
      </c>
      <c r="C308" s="334" t="s">
        <v>134</v>
      </c>
      <c r="D308" s="334" t="s">
        <v>1060</v>
      </c>
      <c r="E308" s="118" t="s">
        <v>89</v>
      </c>
      <c r="F308" s="337">
        <f>F309</f>
        <v>0</v>
      </c>
      <c r="G308" s="337">
        <f>G309</f>
        <v>0</v>
      </c>
      <c r="H308" s="114" t="e">
        <f t="shared" si="13"/>
        <v>#DIV/0!</v>
      </c>
      <c r="I308" s="214"/>
      <c r="J308" s="214"/>
      <c r="K308" s="214"/>
    </row>
    <row r="309" spans="1:11" s="131" customFormat="1" ht="31.5" hidden="1" customHeight="1" x14ac:dyDescent="0.25">
      <c r="A309" s="335" t="s">
        <v>90</v>
      </c>
      <c r="B309" s="334" t="s">
        <v>120</v>
      </c>
      <c r="C309" s="334" t="s">
        <v>134</v>
      </c>
      <c r="D309" s="334" t="s">
        <v>1060</v>
      </c>
      <c r="E309" s="118" t="s">
        <v>91</v>
      </c>
      <c r="F309" s="337">
        <f>'Пр.4 Ведом23'!G224</f>
        <v>0</v>
      </c>
      <c r="G309" s="337">
        <f>'Пр.4 Ведом23'!H224</f>
        <v>0</v>
      </c>
      <c r="H309" s="114" t="e">
        <f t="shared" si="13"/>
        <v>#DIV/0!</v>
      </c>
      <c r="I309" s="214"/>
      <c r="J309" s="214"/>
      <c r="K309" s="214"/>
    </row>
    <row r="310" spans="1:11" ht="47.25" hidden="1" customHeight="1" x14ac:dyDescent="0.25">
      <c r="A310" s="130" t="s">
        <v>853</v>
      </c>
      <c r="B310" s="117" t="s">
        <v>120</v>
      </c>
      <c r="C310" s="117" t="s">
        <v>134</v>
      </c>
      <c r="D310" s="117" t="s">
        <v>259</v>
      </c>
      <c r="E310" s="334"/>
      <c r="F310" s="302">
        <f t="shared" ref="F310:G313" si="16">F311</f>
        <v>0</v>
      </c>
      <c r="G310" s="567">
        <f t="shared" si="16"/>
        <v>0</v>
      </c>
      <c r="H310" s="114" t="e">
        <f t="shared" si="13"/>
        <v>#DIV/0!</v>
      </c>
    </row>
    <row r="311" spans="1:11" s="75" customFormat="1" ht="31.5" hidden="1" customHeight="1" x14ac:dyDescent="0.25">
      <c r="A311" s="180" t="s">
        <v>702</v>
      </c>
      <c r="B311" s="117" t="s">
        <v>120</v>
      </c>
      <c r="C311" s="117" t="s">
        <v>134</v>
      </c>
      <c r="D311" s="117" t="s">
        <v>703</v>
      </c>
      <c r="E311" s="119"/>
      <c r="F311" s="302">
        <f t="shared" si="16"/>
        <v>0</v>
      </c>
      <c r="G311" s="567">
        <f t="shared" si="16"/>
        <v>0</v>
      </c>
      <c r="H311" s="114" t="e">
        <f t="shared" si="13"/>
        <v>#DIV/0!</v>
      </c>
      <c r="I311" s="132"/>
      <c r="J311" s="132"/>
      <c r="K311" s="132"/>
    </row>
    <row r="312" spans="1:11" ht="15.75" hidden="1" customHeight="1" x14ac:dyDescent="0.25">
      <c r="A312" s="335" t="s">
        <v>126</v>
      </c>
      <c r="B312" s="334" t="s">
        <v>120</v>
      </c>
      <c r="C312" s="334" t="s">
        <v>134</v>
      </c>
      <c r="D312" s="334" t="s">
        <v>704</v>
      </c>
      <c r="E312" s="118"/>
      <c r="F312" s="344">
        <f t="shared" si="16"/>
        <v>0</v>
      </c>
      <c r="G312" s="344">
        <f t="shared" si="16"/>
        <v>0</v>
      </c>
      <c r="H312" s="114" t="e">
        <f t="shared" si="13"/>
        <v>#DIV/0!</v>
      </c>
    </row>
    <row r="313" spans="1:11" ht="31.5" hidden="1" customHeight="1" x14ac:dyDescent="0.25">
      <c r="A313" s="335" t="s">
        <v>88</v>
      </c>
      <c r="B313" s="334" t="s">
        <v>120</v>
      </c>
      <c r="C313" s="334" t="s">
        <v>134</v>
      </c>
      <c r="D313" s="334" t="s">
        <v>704</v>
      </c>
      <c r="E313" s="118" t="s">
        <v>89</v>
      </c>
      <c r="F313" s="344">
        <f t="shared" si="16"/>
        <v>0</v>
      </c>
      <c r="G313" s="344">
        <f t="shared" si="16"/>
        <v>0</v>
      </c>
      <c r="H313" s="114" t="e">
        <f t="shared" si="13"/>
        <v>#DIV/0!</v>
      </c>
    </row>
    <row r="314" spans="1:11" ht="31.5" hidden="1" customHeight="1" x14ac:dyDescent="0.25">
      <c r="A314" s="335" t="s">
        <v>90</v>
      </c>
      <c r="B314" s="334" t="s">
        <v>120</v>
      </c>
      <c r="C314" s="334" t="s">
        <v>134</v>
      </c>
      <c r="D314" s="334" t="s">
        <v>704</v>
      </c>
      <c r="E314" s="118" t="s">
        <v>91</v>
      </c>
      <c r="F314" s="344">
        <f>'Пр.4 Ведом23'!G229</f>
        <v>0</v>
      </c>
      <c r="G314" s="344">
        <f>'Пр.4 Ведом23'!H229</f>
        <v>0</v>
      </c>
      <c r="H314" s="114" t="e">
        <f t="shared" si="13"/>
        <v>#DIV/0!</v>
      </c>
    </row>
    <row r="315" spans="1:11" s="332" customFormat="1" ht="78.75" x14ac:dyDescent="0.25">
      <c r="A315" s="30" t="s">
        <v>1101</v>
      </c>
      <c r="B315" s="117" t="s">
        <v>120</v>
      </c>
      <c r="C315" s="117" t="s">
        <v>134</v>
      </c>
      <c r="D315" s="117" t="s">
        <v>1103</v>
      </c>
      <c r="E315" s="314"/>
      <c r="F315" s="302">
        <f t="shared" ref="F315:G318" si="17">F316</f>
        <v>828.59479999999996</v>
      </c>
      <c r="G315" s="567">
        <f t="shared" si="17"/>
        <v>287.02032000000003</v>
      </c>
      <c r="H315" s="113">
        <f t="shared" si="13"/>
        <v>34.639406378123546</v>
      </c>
      <c r="I315" s="333"/>
      <c r="J315" s="333"/>
      <c r="K315" s="333"/>
    </row>
    <row r="316" spans="1:11" s="332" customFormat="1" ht="47.25" x14ac:dyDescent="0.25">
      <c r="A316" s="26" t="s">
        <v>1102</v>
      </c>
      <c r="B316" s="334" t="s">
        <v>120</v>
      </c>
      <c r="C316" s="334" t="s">
        <v>134</v>
      </c>
      <c r="D316" s="334" t="s">
        <v>1104</v>
      </c>
      <c r="E316" s="329"/>
      <c r="F316" s="344">
        <f t="shared" si="17"/>
        <v>828.59479999999996</v>
      </c>
      <c r="G316" s="344">
        <f t="shared" si="17"/>
        <v>287.02032000000003</v>
      </c>
      <c r="H316" s="114">
        <f t="shared" si="13"/>
        <v>34.639406378123546</v>
      </c>
      <c r="I316" s="333"/>
      <c r="J316" s="333"/>
      <c r="K316" s="333"/>
    </row>
    <row r="317" spans="1:11" s="332" customFormat="1" ht="78.75" x14ac:dyDescent="0.25">
      <c r="A317" s="335" t="s">
        <v>1069</v>
      </c>
      <c r="B317" s="334" t="s">
        <v>120</v>
      </c>
      <c r="C317" s="334" t="s">
        <v>134</v>
      </c>
      <c r="D317" s="334" t="s">
        <v>1105</v>
      </c>
      <c r="E317" s="329"/>
      <c r="F317" s="344">
        <f t="shared" si="17"/>
        <v>828.59479999999996</v>
      </c>
      <c r="G317" s="344">
        <f t="shared" si="17"/>
        <v>287.02032000000003</v>
      </c>
      <c r="H317" s="114">
        <f t="shared" si="13"/>
        <v>34.639406378123546</v>
      </c>
      <c r="I317" s="333"/>
      <c r="J317" s="333"/>
      <c r="K317" s="333"/>
    </row>
    <row r="318" spans="1:11" s="332" customFormat="1" ht="31.5" x14ac:dyDescent="0.25">
      <c r="A318" s="335" t="s">
        <v>88</v>
      </c>
      <c r="B318" s="334" t="s">
        <v>120</v>
      </c>
      <c r="C318" s="334" t="s">
        <v>134</v>
      </c>
      <c r="D318" s="334" t="s">
        <v>1105</v>
      </c>
      <c r="E318" s="118" t="s">
        <v>89</v>
      </c>
      <c r="F318" s="344">
        <f t="shared" si="17"/>
        <v>828.59479999999996</v>
      </c>
      <c r="G318" s="344">
        <f t="shared" si="17"/>
        <v>287.02032000000003</v>
      </c>
      <c r="H318" s="114">
        <f t="shared" si="13"/>
        <v>34.639406378123546</v>
      </c>
      <c r="I318" s="333"/>
      <c r="J318" s="333"/>
      <c r="K318" s="333"/>
    </row>
    <row r="319" spans="1:11" s="332" customFormat="1" ht="31.5" customHeight="1" x14ac:dyDescent="0.25">
      <c r="A319" s="335" t="s">
        <v>90</v>
      </c>
      <c r="B319" s="334" t="s">
        <v>120</v>
      </c>
      <c r="C319" s="334" t="s">
        <v>134</v>
      </c>
      <c r="D319" s="334" t="s">
        <v>1105</v>
      </c>
      <c r="E319" s="118" t="s">
        <v>91</v>
      </c>
      <c r="F319" s="344">
        <f>'Пр.4 Ведом23'!G234</f>
        <v>828.59479999999996</v>
      </c>
      <c r="G319" s="344">
        <f>'Пр.4 Ведом23'!H234</f>
        <v>287.02032000000003</v>
      </c>
      <c r="H319" s="114">
        <f t="shared" si="13"/>
        <v>34.639406378123546</v>
      </c>
      <c r="I319" s="333"/>
      <c r="J319" s="333"/>
      <c r="K319" s="333"/>
    </row>
    <row r="320" spans="1:11" ht="15.75" x14ac:dyDescent="0.25">
      <c r="A320" s="116" t="s">
        <v>127</v>
      </c>
      <c r="B320" s="117" t="s">
        <v>103</v>
      </c>
      <c r="C320" s="117"/>
      <c r="D320" s="117"/>
      <c r="E320" s="334"/>
      <c r="F320" s="302">
        <f>F321+F331+F337+F354</f>
        <v>12919.830399999999</v>
      </c>
      <c r="G320" s="567">
        <f>G321+G331+G337+G354</f>
        <v>12919.827529999999</v>
      </c>
      <c r="H320" s="113">
        <f t="shared" si="13"/>
        <v>99.999977786086106</v>
      </c>
    </row>
    <row r="321" spans="1:11" s="75" customFormat="1" ht="15.75" hidden="1" customHeight="1" x14ac:dyDescent="0.25">
      <c r="A321" s="116" t="s">
        <v>128</v>
      </c>
      <c r="B321" s="117" t="s">
        <v>103</v>
      </c>
      <c r="C321" s="117" t="s">
        <v>129</v>
      </c>
      <c r="D321" s="117"/>
      <c r="E321" s="334"/>
      <c r="F321" s="302">
        <f>F322</f>
        <v>0</v>
      </c>
      <c r="G321" s="567">
        <f>G322</f>
        <v>0</v>
      </c>
      <c r="H321" s="113" t="e">
        <f t="shared" si="13"/>
        <v>#DIV/0!</v>
      </c>
      <c r="I321" s="132"/>
      <c r="J321" s="132"/>
      <c r="K321" s="132"/>
    </row>
    <row r="322" spans="1:11" ht="47.25" hidden="1" customHeight="1" x14ac:dyDescent="0.25">
      <c r="A322" s="22" t="s">
        <v>895</v>
      </c>
      <c r="B322" s="117" t="s">
        <v>103</v>
      </c>
      <c r="C322" s="117" t="s">
        <v>129</v>
      </c>
      <c r="D322" s="74" t="s">
        <v>109</v>
      </c>
      <c r="E322" s="119"/>
      <c r="F322" s="302">
        <f>F323+F327</f>
        <v>0</v>
      </c>
      <c r="G322" s="567">
        <f>G323+G327</f>
        <v>0</v>
      </c>
      <c r="H322" s="113" t="e">
        <f t="shared" si="13"/>
        <v>#DIV/0!</v>
      </c>
    </row>
    <row r="323" spans="1:11" ht="31.5" hidden="1" customHeight="1" x14ac:dyDescent="0.25">
      <c r="A323" s="22" t="s">
        <v>434</v>
      </c>
      <c r="B323" s="117" t="s">
        <v>103</v>
      </c>
      <c r="C323" s="117" t="s">
        <v>129</v>
      </c>
      <c r="D323" s="90" t="s">
        <v>334</v>
      </c>
      <c r="E323" s="119"/>
      <c r="F323" s="302">
        <f t="shared" ref="F323:G325" si="18">F324</f>
        <v>0</v>
      </c>
      <c r="G323" s="567">
        <f t="shared" si="18"/>
        <v>0</v>
      </c>
      <c r="H323" s="113" t="e">
        <f t="shared" si="13"/>
        <v>#DIV/0!</v>
      </c>
    </row>
    <row r="324" spans="1:11" ht="31.5" hidden="1" customHeight="1" x14ac:dyDescent="0.25">
      <c r="A324" s="335" t="s">
        <v>130</v>
      </c>
      <c r="B324" s="334" t="s">
        <v>103</v>
      </c>
      <c r="C324" s="334" t="s">
        <v>129</v>
      </c>
      <c r="D324" s="334" t="s">
        <v>347</v>
      </c>
      <c r="E324" s="118"/>
      <c r="F324" s="344">
        <f t="shared" si="18"/>
        <v>0</v>
      </c>
      <c r="G324" s="344">
        <f t="shared" si="18"/>
        <v>0</v>
      </c>
      <c r="H324" s="113" t="e">
        <f t="shared" si="13"/>
        <v>#DIV/0!</v>
      </c>
    </row>
    <row r="325" spans="1:11" s="131" customFormat="1" ht="15.75" hidden="1" customHeight="1" x14ac:dyDescent="0.25">
      <c r="A325" s="19" t="s">
        <v>92</v>
      </c>
      <c r="B325" s="334" t="s">
        <v>103</v>
      </c>
      <c r="C325" s="334" t="s">
        <v>129</v>
      </c>
      <c r="D325" s="334" t="s">
        <v>347</v>
      </c>
      <c r="E325" s="118" t="s">
        <v>98</v>
      </c>
      <c r="F325" s="344">
        <f t="shared" si="18"/>
        <v>0</v>
      </c>
      <c r="G325" s="344">
        <f t="shared" si="18"/>
        <v>0</v>
      </c>
      <c r="H325" s="113" t="e">
        <f t="shared" si="13"/>
        <v>#DIV/0!</v>
      </c>
      <c r="I325" s="132"/>
      <c r="J325" s="132"/>
      <c r="K325" s="132"/>
    </row>
    <row r="326" spans="1:11" s="131" customFormat="1" ht="47.25" hidden="1" customHeight="1" x14ac:dyDescent="0.25">
      <c r="A326" s="19" t="s">
        <v>110</v>
      </c>
      <c r="B326" s="334" t="s">
        <v>103</v>
      </c>
      <c r="C326" s="334" t="s">
        <v>129</v>
      </c>
      <c r="D326" s="334" t="s">
        <v>347</v>
      </c>
      <c r="E326" s="118" t="s">
        <v>105</v>
      </c>
      <c r="F326" s="344">
        <f>'Пр.4 Ведом23'!G241</f>
        <v>0</v>
      </c>
      <c r="G326" s="344">
        <f>'Пр.4 Ведом23'!H241</f>
        <v>0</v>
      </c>
      <c r="H326" s="113" t="e">
        <f t="shared" si="13"/>
        <v>#DIV/0!</v>
      </c>
      <c r="I326" s="132"/>
      <c r="J326" s="132"/>
      <c r="K326" s="132"/>
    </row>
    <row r="327" spans="1:11" s="131" customFormat="1" ht="47.25" hidden="1" customHeight="1" x14ac:dyDescent="0.25">
      <c r="A327" s="180" t="s">
        <v>435</v>
      </c>
      <c r="B327" s="117" t="s">
        <v>103</v>
      </c>
      <c r="C327" s="117" t="s">
        <v>129</v>
      </c>
      <c r="D327" s="74" t="s">
        <v>336</v>
      </c>
      <c r="E327" s="119"/>
      <c r="F327" s="302">
        <f t="shared" ref="F327:G329" si="19">F328</f>
        <v>0</v>
      </c>
      <c r="G327" s="567">
        <f t="shared" si="19"/>
        <v>0</v>
      </c>
      <c r="H327" s="113" t="e">
        <f t="shared" si="13"/>
        <v>#DIV/0!</v>
      </c>
      <c r="I327" s="132"/>
      <c r="J327" s="132"/>
      <c r="K327" s="132"/>
    </row>
    <row r="328" spans="1:11" s="131" customFormat="1" ht="15.75" hidden="1" customHeight="1" x14ac:dyDescent="0.25">
      <c r="A328" s="335" t="s">
        <v>335</v>
      </c>
      <c r="B328" s="334" t="s">
        <v>103</v>
      </c>
      <c r="C328" s="334" t="s">
        <v>129</v>
      </c>
      <c r="D328" s="351" t="s">
        <v>348</v>
      </c>
      <c r="E328" s="118"/>
      <c r="F328" s="344">
        <f t="shared" si="19"/>
        <v>0</v>
      </c>
      <c r="G328" s="344">
        <f t="shared" si="19"/>
        <v>0</v>
      </c>
      <c r="H328" s="113" t="e">
        <f t="shared" si="13"/>
        <v>#DIV/0!</v>
      </c>
      <c r="I328" s="132"/>
      <c r="J328" s="132"/>
      <c r="K328" s="132"/>
    </row>
    <row r="329" spans="1:11" s="131" customFormat="1" ht="15.75" hidden="1" customHeight="1" x14ac:dyDescent="0.25">
      <c r="A329" s="19" t="s">
        <v>92</v>
      </c>
      <c r="B329" s="334" t="s">
        <v>103</v>
      </c>
      <c r="C329" s="334" t="s">
        <v>129</v>
      </c>
      <c r="D329" s="351" t="s">
        <v>348</v>
      </c>
      <c r="E329" s="118" t="s">
        <v>98</v>
      </c>
      <c r="F329" s="344">
        <f t="shared" si="19"/>
        <v>0</v>
      </c>
      <c r="G329" s="344">
        <f t="shared" si="19"/>
        <v>0</v>
      </c>
      <c r="H329" s="113" t="e">
        <f t="shared" si="13"/>
        <v>#DIV/0!</v>
      </c>
      <c r="I329" s="132"/>
      <c r="J329" s="132"/>
      <c r="K329" s="132"/>
    </row>
    <row r="330" spans="1:11" ht="47.25" hidden="1" customHeight="1" x14ac:dyDescent="0.25">
      <c r="A330" s="19" t="s">
        <v>110</v>
      </c>
      <c r="B330" s="334" t="s">
        <v>103</v>
      </c>
      <c r="C330" s="334" t="s">
        <v>129</v>
      </c>
      <c r="D330" s="351" t="s">
        <v>348</v>
      </c>
      <c r="E330" s="118" t="s">
        <v>105</v>
      </c>
      <c r="F330" s="342">
        <f>'Пр.4 Ведом23'!G245</f>
        <v>0</v>
      </c>
      <c r="G330" s="565">
        <f>'Пр.4 Ведом23'!H245</f>
        <v>0</v>
      </c>
      <c r="H330" s="113" t="e">
        <f t="shared" si="13"/>
        <v>#DIV/0!</v>
      </c>
    </row>
    <row r="331" spans="1:11" ht="15.75" x14ac:dyDescent="0.25">
      <c r="A331" s="116" t="s">
        <v>201</v>
      </c>
      <c r="B331" s="117" t="s">
        <v>103</v>
      </c>
      <c r="C331" s="117" t="s">
        <v>159</v>
      </c>
      <c r="D331" s="117"/>
      <c r="E331" s="117"/>
      <c r="F331" s="343">
        <f t="shared" ref="F331:G335" si="20">F332</f>
        <v>3258</v>
      </c>
      <c r="G331" s="566">
        <f t="shared" si="20"/>
        <v>3258</v>
      </c>
      <c r="H331" s="113">
        <f t="shared" ref="H331:H394" si="21">G331/F331*100</f>
        <v>100</v>
      </c>
    </row>
    <row r="332" spans="1:11" ht="15.75" x14ac:dyDescent="0.25">
      <c r="A332" s="116" t="s">
        <v>97</v>
      </c>
      <c r="B332" s="117" t="s">
        <v>103</v>
      </c>
      <c r="C332" s="117" t="s">
        <v>159</v>
      </c>
      <c r="D332" s="117" t="s">
        <v>329</v>
      </c>
      <c r="E332" s="117"/>
      <c r="F332" s="305">
        <f t="shared" si="20"/>
        <v>3258</v>
      </c>
      <c r="G332" s="305">
        <f t="shared" si="20"/>
        <v>3258</v>
      </c>
      <c r="H332" s="113">
        <f t="shared" si="21"/>
        <v>100</v>
      </c>
    </row>
    <row r="333" spans="1:11" ht="31.5" x14ac:dyDescent="0.25">
      <c r="A333" s="116" t="s">
        <v>330</v>
      </c>
      <c r="B333" s="117" t="s">
        <v>103</v>
      </c>
      <c r="C333" s="117" t="s">
        <v>159</v>
      </c>
      <c r="D333" s="117" t="s">
        <v>328</v>
      </c>
      <c r="E333" s="117"/>
      <c r="F333" s="305">
        <f t="shared" si="20"/>
        <v>3258</v>
      </c>
      <c r="G333" s="305">
        <f t="shared" si="20"/>
        <v>3258</v>
      </c>
      <c r="H333" s="113">
        <f t="shared" si="21"/>
        <v>100</v>
      </c>
    </row>
    <row r="334" spans="1:11" ht="15.75" x14ac:dyDescent="0.25">
      <c r="A334" s="335" t="s">
        <v>202</v>
      </c>
      <c r="B334" s="334" t="s">
        <v>103</v>
      </c>
      <c r="C334" s="334" t="s">
        <v>159</v>
      </c>
      <c r="D334" s="334" t="s">
        <v>388</v>
      </c>
      <c r="E334" s="334"/>
      <c r="F334" s="342">
        <f t="shared" si="20"/>
        <v>3258</v>
      </c>
      <c r="G334" s="565">
        <f t="shared" si="20"/>
        <v>3258</v>
      </c>
      <c r="H334" s="114">
        <f t="shared" si="21"/>
        <v>100</v>
      </c>
    </row>
    <row r="335" spans="1:11" s="75" customFormat="1" ht="31.5" x14ac:dyDescent="0.25">
      <c r="A335" s="335" t="s">
        <v>88</v>
      </c>
      <c r="B335" s="334" t="s">
        <v>103</v>
      </c>
      <c r="C335" s="334" t="s">
        <v>159</v>
      </c>
      <c r="D335" s="334" t="s">
        <v>388</v>
      </c>
      <c r="E335" s="334" t="s">
        <v>89</v>
      </c>
      <c r="F335" s="342">
        <f t="shared" si="20"/>
        <v>3258</v>
      </c>
      <c r="G335" s="565">
        <f t="shared" si="20"/>
        <v>3258</v>
      </c>
      <c r="H335" s="114">
        <f t="shared" si="21"/>
        <v>100</v>
      </c>
      <c r="I335" s="132"/>
      <c r="J335" s="132"/>
      <c r="K335" s="132"/>
    </row>
    <row r="336" spans="1:11" s="75" customFormat="1" ht="31.5" customHeight="1" x14ac:dyDescent="0.25">
      <c r="A336" s="335" t="s">
        <v>90</v>
      </c>
      <c r="B336" s="334" t="s">
        <v>103</v>
      </c>
      <c r="C336" s="334" t="s">
        <v>159</v>
      </c>
      <c r="D336" s="334" t="s">
        <v>388</v>
      </c>
      <c r="E336" s="334" t="s">
        <v>91</v>
      </c>
      <c r="F336" s="342">
        <f>'Пр.4 Ведом23'!G1131</f>
        <v>3258</v>
      </c>
      <c r="G336" s="565">
        <f>'Пр.4 Ведом23'!H1131</f>
        <v>3258</v>
      </c>
      <c r="H336" s="114">
        <f t="shared" si="21"/>
        <v>100</v>
      </c>
      <c r="I336" s="132"/>
      <c r="J336" s="132"/>
      <c r="K336" s="132"/>
    </row>
    <row r="337" spans="1:11" s="75" customFormat="1" ht="15.75" x14ac:dyDescent="0.25">
      <c r="A337" s="116" t="s">
        <v>203</v>
      </c>
      <c r="B337" s="117" t="s">
        <v>103</v>
      </c>
      <c r="C337" s="117" t="s">
        <v>122</v>
      </c>
      <c r="D337" s="334"/>
      <c r="E337" s="117"/>
      <c r="F337" s="343">
        <f>F338</f>
        <v>8038.6579999999985</v>
      </c>
      <c r="G337" s="566">
        <f>G338</f>
        <v>8038.6580000000004</v>
      </c>
      <c r="H337" s="113">
        <f t="shared" si="21"/>
        <v>100.00000000000003</v>
      </c>
      <c r="I337" s="132"/>
      <c r="J337" s="132"/>
      <c r="K337" s="132"/>
    </row>
    <row r="338" spans="1:11" s="75" customFormat="1" ht="47.25" x14ac:dyDescent="0.25">
      <c r="A338" s="22" t="s">
        <v>881</v>
      </c>
      <c r="B338" s="117" t="s">
        <v>103</v>
      </c>
      <c r="C338" s="117" t="s">
        <v>122</v>
      </c>
      <c r="D338" s="117" t="s">
        <v>204</v>
      </c>
      <c r="E338" s="117"/>
      <c r="F338" s="343">
        <f>F339+F343</f>
        <v>8038.6579999999985</v>
      </c>
      <c r="G338" s="566">
        <f>G339+G343</f>
        <v>8038.6580000000004</v>
      </c>
      <c r="H338" s="113">
        <f t="shared" si="21"/>
        <v>100.00000000000003</v>
      </c>
      <c r="I338" s="132"/>
      <c r="J338" s="132"/>
      <c r="K338" s="132"/>
    </row>
    <row r="339" spans="1:11" s="75" customFormat="1" ht="31.5" hidden="1" customHeight="1" x14ac:dyDescent="0.25">
      <c r="A339" s="22" t="s">
        <v>428</v>
      </c>
      <c r="B339" s="117" t="s">
        <v>103</v>
      </c>
      <c r="C339" s="117" t="s">
        <v>122</v>
      </c>
      <c r="D339" s="6" t="s">
        <v>389</v>
      </c>
      <c r="E339" s="117"/>
      <c r="F339" s="343">
        <f t="shared" ref="F339:G341" si="22">F340</f>
        <v>0</v>
      </c>
      <c r="G339" s="566">
        <f t="shared" si="22"/>
        <v>0</v>
      </c>
      <c r="H339" s="113" t="e">
        <f t="shared" si="21"/>
        <v>#DIV/0!</v>
      </c>
      <c r="I339" s="132"/>
      <c r="J339" s="132"/>
      <c r="K339" s="132"/>
    </row>
    <row r="340" spans="1:11" s="75" customFormat="1" ht="15.75" hidden="1" customHeight="1" x14ac:dyDescent="0.25">
      <c r="A340" s="19" t="s">
        <v>430</v>
      </c>
      <c r="B340" s="334" t="s">
        <v>103</v>
      </c>
      <c r="C340" s="334" t="s">
        <v>122</v>
      </c>
      <c r="D340" s="217" t="s">
        <v>429</v>
      </c>
      <c r="E340" s="334"/>
      <c r="F340" s="342">
        <f t="shared" si="22"/>
        <v>0</v>
      </c>
      <c r="G340" s="565">
        <f t="shared" si="22"/>
        <v>0</v>
      </c>
      <c r="H340" s="113" t="e">
        <f t="shared" si="21"/>
        <v>#DIV/0!</v>
      </c>
      <c r="I340" s="132"/>
      <c r="J340" s="132"/>
      <c r="K340" s="132"/>
    </row>
    <row r="341" spans="1:11" s="75" customFormat="1" ht="31.5" hidden="1" customHeight="1" x14ac:dyDescent="0.25">
      <c r="A341" s="335" t="s">
        <v>88</v>
      </c>
      <c r="B341" s="334" t="s">
        <v>103</v>
      </c>
      <c r="C341" s="334" t="s">
        <v>122</v>
      </c>
      <c r="D341" s="217" t="s">
        <v>429</v>
      </c>
      <c r="E341" s="334" t="s">
        <v>89</v>
      </c>
      <c r="F341" s="342">
        <f t="shared" si="22"/>
        <v>0</v>
      </c>
      <c r="G341" s="565">
        <f t="shared" si="22"/>
        <v>0</v>
      </c>
      <c r="H341" s="113" t="e">
        <f t="shared" si="21"/>
        <v>#DIV/0!</v>
      </c>
      <c r="I341" s="132"/>
      <c r="J341" s="132"/>
      <c r="K341" s="132"/>
    </row>
    <row r="342" spans="1:11" ht="31.5" hidden="1" customHeight="1" x14ac:dyDescent="0.25">
      <c r="A342" s="335" t="s">
        <v>90</v>
      </c>
      <c r="B342" s="334" t="s">
        <v>103</v>
      </c>
      <c r="C342" s="334" t="s">
        <v>122</v>
      </c>
      <c r="D342" s="217" t="s">
        <v>429</v>
      </c>
      <c r="E342" s="334" t="s">
        <v>91</v>
      </c>
      <c r="F342" s="342">
        <f>'Пр.4 Ведом23'!G1137</f>
        <v>0</v>
      </c>
      <c r="G342" s="565">
        <f>'Пр.4 Ведом23'!H1137</f>
        <v>0</v>
      </c>
      <c r="H342" s="113" t="e">
        <f t="shared" si="21"/>
        <v>#DIV/0!</v>
      </c>
    </row>
    <row r="343" spans="1:11" ht="31.5" x14ac:dyDescent="0.25">
      <c r="A343" s="22" t="s">
        <v>480</v>
      </c>
      <c r="B343" s="117" t="s">
        <v>103</v>
      </c>
      <c r="C343" s="117" t="s">
        <v>122</v>
      </c>
      <c r="D343" s="117" t="s">
        <v>390</v>
      </c>
      <c r="E343" s="117"/>
      <c r="F343" s="343">
        <f>F344+F351</f>
        <v>8038.6579999999985</v>
      </c>
      <c r="G343" s="566">
        <f>G344+G351</f>
        <v>8038.6580000000004</v>
      </c>
      <c r="H343" s="113">
        <f t="shared" si="21"/>
        <v>100.00000000000003</v>
      </c>
      <c r="I343" s="58"/>
      <c r="J343" s="58"/>
    </row>
    <row r="344" spans="1:11" ht="15.75" x14ac:dyDescent="0.25">
      <c r="A344" s="19" t="s">
        <v>205</v>
      </c>
      <c r="B344" s="334" t="s">
        <v>103</v>
      </c>
      <c r="C344" s="334" t="s">
        <v>122</v>
      </c>
      <c r="D344" s="217" t="s">
        <v>431</v>
      </c>
      <c r="E344" s="334"/>
      <c r="F344" s="342">
        <f>F345+F347+F349</f>
        <v>8038.6579999999985</v>
      </c>
      <c r="G344" s="565">
        <f>G345+G347+G349</f>
        <v>8038.6580000000004</v>
      </c>
      <c r="H344" s="114">
        <f t="shared" si="21"/>
        <v>100.00000000000003</v>
      </c>
    </row>
    <row r="345" spans="1:11" s="131" customFormat="1" ht="78.75" hidden="1" customHeight="1" x14ac:dyDescent="0.25">
      <c r="A345" s="335" t="s">
        <v>84</v>
      </c>
      <c r="B345" s="334" t="s">
        <v>103</v>
      </c>
      <c r="C345" s="334" t="s">
        <v>122</v>
      </c>
      <c r="D345" s="217" t="s">
        <v>431</v>
      </c>
      <c r="E345" s="334" t="s">
        <v>85</v>
      </c>
      <c r="F345" s="342">
        <f>F346</f>
        <v>0</v>
      </c>
      <c r="G345" s="565">
        <f>G346</f>
        <v>0</v>
      </c>
      <c r="H345" s="114" t="e">
        <f t="shared" si="21"/>
        <v>#DIV/0!</v>
      </c>
      <c r="I345" s="132"/>
      <c r="J345" s="132"/>
      <c r="K345" s="132"/>
    </row>
    <row r="346" spans="1:11" s="131" customFormat="1" ht="31.5" hidden="1" customHeight="1" x14ac:dyDescent="0.25">
      <c r="A346" s="335" t="s">
        <v>168</v>
      </c>
      <c r="B346" s="334" t="s">
        <v>103</v>
      </c>
      <c r="C346" s="334" t="s">
        <v>122</v>
      </c>
      <c r="D346" s="217" t="s">
        <v>431</v>
      </c>
      <c r="E346" s="334" t="s">
        <v>117</v>
      </c>
      <c r="F346" s="342">
        <f>'Пр.4 Ведом23'!G1141</f>
        <v>0</v>
      </c>
      <c r="G346" s="565">
        <f>'Пр.4 Ведом23'!H1141</f>
        <v>0</v>
      </c>
      <c r="H346" s="114" t="e">
        <f t="shared" si="21"/>
        <v>#DIV/0!</v>
      </c>
      <c r="I346" s="132"/>
      <c r="J346" s="132"/>
      <c r="K346" s="132"/>
    </row>
    <row r="347" spans="1:11" s="131" customFormat="1" ht="31.5" x14ac:dyDescent="0.25">
      <c r="A347" s="335" t="s">
        <v>88</v>
      </c>
      <c r="B347" s="334" t="s">
        <v>103</v>
      </c>
      <c r="C347" s="334" t="s">
        <v>122</v>
      </c>
      <c r="D347" s="217" t="s">
        <v>431</v>
      </c>
      <c r="E347" s="334" t="s">
        <v>89</v>
      </c>
      <c r="F347" s="342">
        <f>F348</f>
        <v>8038.6579999999985</v>
      </c>
      <c r="G347" s="565">
        <f>G348</f>
        <v>8038.6580000000004</v>
      </c>
      <c r="H347" s="114">
        <f t="shared" si="21"/>
        <v>100.00000000000003</v>
      </c>
      <c r="I347" s="132"/>
      <c r="J347" s="132"/>
      <c r="K347" s="132"/>
    </row>
    <row r="348" spans="1:11" s="131" customFormat="1" ht="31.5" customHeight="1" x14ac:dyDescent="0.25">
      <c r="A348" s="335" t="s">
        <v>90</v>
      </c>
      <c r="B348" s="334" t="s">
        <v>103</v>
      </c>
      <c r="C348" s="334" t="s">
        <v>122</v>
      </c>
      <c r="D348" s="217" t="s">
        <v>431</v>
      </c>
      <c r="E348" s="334" t="s">
        <v>91</v>
      </c>
      <c r="F348" s="342">
        <f>'Пр.4 Ведом23'!G1143</f>
        <v>8038.6579999999985</v>
      </c>
      <c r="G348" s="565">
        <f>'Пр.4 Ведом23'!H1143</f>
        <v>8038.6580000000004</v>
      </c>
      <c r="H348" s="114">
        <f t="shared" si="21"/>
        <v>100.00000000000003</v>
      </c>
      <c r="I348" s="132"/>
      <c r="J348" s="132"/>
      <c r="K348" s="132"/>
    </row>
    <row r="349" spans="1:11" s="131" customFormat="1" ht="15.75" hidden="1" customHeight="1" x14ac:dyDescent="0.25">
      <c r="A349" s="335" t="s">
        <v>92</v>
      </c>
      <c r="B349" s="334" t="s">
        <v>103</v>
      </c>
      <c r="C349" s="334" t="s">
        <v>122</v>
      </c>
      <c r="D349" s="217" t="s">
        <v>431</v>
      </c>
      <c r="E349" s="334" t="s">
        <v>98</v>
      </c>
      <c r="F349" s="342">
        <f>F350</f>
        <v>0</v>
      </c>
      <c r="G349" s="565">
        <f>G350</f>
        <v>0</v>
      </c>
      <c r="H349" s="114" t="e">
        <f t="shared" si="21"/>
        <v>#DIV/0!</v>
      </c>
      <c r="I349" s="132"/>
      <c r="J349" s="132"/>
      <c r="K349" s="132"/>
    </row>
    <row r="350" spans="1:11" s="131" customFormat="1" ht="15.75" hidden="1" customHeight="1" x14ac:dyDescent="0.25">
      <c r="A350" s="335" t="s">
        <v>223</v>
      </c>
      <c r="B350" s="334" t="s">
        <v>103</v>
      </c>
      <c r="C350" s="334" t="s">
        <v>122</v>
      </c>
      <c r="D350" s="217" t="s">
        <v>431</v>
      </c>
      <c r="E350" s="334" t="s">
        <v>94</v>
      </c>
      <c r="F350" s="342">
        <f>'Пр.4 Ведом23'!G1145</f>
        <v>0</v>
      </c>
      <c r="G350" s="565">
        <f>'Пр.4 Ведом23'!H1145</f>
        <v>0</v>
      </c>
      <c r="H350" s="114" t="e">
        <f t="shared" si="21"/>
        <v>#DIV/0!</v>
      </c>
      <c r="I350" s="132"/>
      <c r="J350" s="132"/>
      <c r="K350" s="132"/>
    </row>
    <row r="351" spans="1:11" s="131" customFormat="1" ht="15.75" hidden="1" customHeight="1" x14ac:dyDescent="0.25">
      <c r="A351" s="66" t="s">
        <v>868</v>
      </c>
      <c r="B351" s="334" t="s">
        <v>103</v>
      </c>
      <c r="C351" s="334" t="s">
        <v>122</v>
      </c>
      <c r="D351" s="217" t="s">
        <v>869</v>
      </c>
      <c r="E351" s="334"/>
      <c r="F351" s="342">
        <f>F352</f>
        <v>0</v>
      </c>
      <c r="G351" s="565">
        <f>G352</f>
        <v>0</v>
      </c>
      <c r="H351" s="114" t="e">
        <f t="shared" si="21"/>
        <v>#DIV/0!</v>
      </c>
      <c r="I351" s="132"/>
      <c r="J351" s="132"/>
      <c r="K351" s="132"/>
    </row>
    <row r="352" spans="1:11" s="131" customFormat="1" ht="31.5" hidden="1" customHeight="1" x14ac:dyDescent="0.25">
      <c r="A352" s="335" t="s">
        <v>88</v>
      </c>
      <c r="B352" s="334" t="s">
        <v>103</v>
      </c>
      <c r="C352" s="334" t="s">
        <v>122</v>
      </c>
      <c r="D352" s="217" t="s">
        <v>869</v>
      </c>
      <c r="E352" s="334" t="s">
        <v>89</v>
      </c>
      <c r="F352" s="342">
        <f>F353</f>
        <v>0</v>
      </c>
      <c r="G352" s="565">
        <f>G353</f>
        <v>0</v>
      </c>
      <c r="H352" s="114" t="e">
        <f t="shared" si="21"/>
        <v>#DIV/0!</v>
      </c>
      <c r="I352" s="132"/>
      <c r="J352" s="132"/>
      <c r="K352" s="132"/>
    </row>
    <row r="353" spans="1:11" s="131" customFormat="1" ht="31.5" hidden="1" customHeight="1" x14ac:dyDescent="0.25">
      <c r="A353" s="335" t="s">
        <v>90</v>
      </c>
      <c r="B353" s="334" t="s">
        <v>103</v>
      </c>
      <c r="C353" s="334" t="s">
        <v>122</v>
      </c>
      <c r="D353" s="217" t="s">
        <v>869</v>
      </c>
      <c r="E353" s="334" t="s">
        <v>91</v>
      </c>
      <c r="F353" s="342">
        <f>'Пр.4 Ведом23'!G1148</f>
        <v>0</v>
      </c>
      <c r="G353" s="565">
        <f>'Пр.4 Ведом23'!H1148</f>
        <v>0</v>
      </c>
      <c r="H353" s="114" t="e">
        <f t="shared" si="21"/>
        <v>#DIV/0!</v>
      </c>
      <c r="I353" s="132"/>
      <c r="J353" s="132"/>
      <c r="K353" s="132"/>
    </row>
    <row r="354" spans="1:11" s="131" customFormat="1" ht="26.25" customHeight="1" x14ac:dyDescent="0.25">
      <c r="A354" s="116" t="s">
        <v>131</v>
      </c>
      <c r="B354" s="117" t="s">
        <v>103</v>
      </c>
      <c r="C354" s="117" t="s">
        <v>132</v>
      </c>
      <c r="D354" s="334"/>
      <c r="E354" s="118"/>
      <c r="F354" s="343">
        <f>F362+F380+F355</f>
        <v>1623.1723999999999</v>
      </c>
      <c r="G354" s="566">
        <f>G362+G380+G355</f>
        <v>1623.1695300000001</v>
      </c>
      <c r="H354" s="113">
        <f t="shared" si="21"/>
        <v>99.999823185756497</v>
      </c>
      <c r="I354" s="214"/>
      <c r="J354" s="214"/>
      <c r="K354" s="214"/>
    </row>
    <row r="355" spans="1:11" s="131" customFormat="1" ht="31.5" customHeight="1" x14ac:dyDescent="0.25">
      <c r="A355" s="116" t="s">
        <v>362</v>
      </c>
      <c r="B355" s="117" t="s">
        <v>103</v>
      </c>
      <c r="C355" s="117" t="s">
        <v>132</v>
      </c>
      <c r="D355" s="117" t="s">
        <v>321</v>
      </c>
      <c r="E355" s="117"/>
      <c r="F355" s="343">
        <f>F356</f>
        <v>344.17239999999998</v>
      </c>
      <c r="G355" s="566">
        <f>G356</f>
        <v>344.16953000000001</v>
      </c>
      <c r="H355" s="113">
        <f t="shared" si="21"/>
        <v>99.999166115586263</v>
      </c>
      <c r="I355" s="214"/>
      <c r="J355" s="214"/>
      <c r="K355" s="214"/>
    </row>
    <row r="356" spans="1:11" s="131" customFormat="1" ht="36" customHeight="1" x14ac:dyDescent="0.25">
      <c r="A356" s="116" t="s">
        <v>338</v>
      </c>
      <c r="B356" s="117" t="s">
        <v>103</v>
      </c>
      <c r="C356" s="117" t="s">
        <v>132</v>
      </c>
      <c r="D356" s="117" t="s">
        <v>326</v>
      </c>
      <c r="E356" s="117"/>
      <c r="F356" s="343">
        <f>F357</f>
        <v>344.17239999999998</v>
      </c>
      <c r="G356" s="566">
        <f>G357</f>
        <v>344.16953000000001</v>
      </c>
      <c r="H356" s="113">
        <f t="shared" si="21"/>
        <v>99.999166115586263</v>
      </c>
      <c r="I356" s="214"/>
      <c r="J356" s="214"/>
      <c r="K356" s="214"/>
    </row>
    <row r="357" spans="1:11" s="131" customFormat="1" ht="135.75" customHeight="1" x14ac:dyDescent="0.25">
      <c r="A357" s="20" t="s">
        <v>854</v>
      </c>
      <c r="B357" s="334" t="s">
        <v>103</v>
      </c>
      <c r="C357" s="334" t="s">
        <v>132</v>
      </c>
      <c r="D357" s="334" t="s">
        <v>367</v>
      </c>
      <c r="E357" s="334"/>
      <c r="F357" s="342">
        <f>F358+F360</f>
        <v>344.17239999999998</v>
      </c>
      <c r="G357" s="565">
        <f>G358+G360</f>
        <v>344.16953000000001</v>
      </c>
      <c r="H357" s="114">
        <f t="shared" si="21"/>
        <v>99.999166115586263</v>
      </c>
      <c r="I357" s="214"/>
      <c r="J357" s="214"/>
      <c r="K357" s="214"/>
    </row>
    <row r="358" spans="1:11" s="131" customFormat="1" ht="26.25" customHeight="1" x14ac:dyDescent="0.25">
      <c r="A358" s="335" t="s">
        <v>84</v>
      </c>
      <c r="B358" s="334" t="s">
        <v>103</v>
      </c>
      <c r="C358" s="334" t="s">
        <v>132</v>
      </c>
      <c r="D358" s="334" t="s">
        <v>367</v>
      </c>
      <c r="E358" s="334" t="s">
        <v>85</v>
      </c>
      <c r="F358" s="342">
        <f>F359</f>
        <v>312.88399999999996</v>
      </c>
      <c r="G358" s="565">
        <f>G359</f>
        <v>312.88400000000001</v>
      </c>
      <c r="H358" s="114">
        <f t="shared" si="21"/>
        <v>100.00000000000003</v>
      </c>
      <c r="I358" s="214"/>
      <c r="J358" s="214"/>
      <c r="K358" s="214"/>
    </row>
    <row r="359" spans="1:11" s="131" customFormat="1" ht="31.5" customHeight="1" x14ac:dyDescent="0.25">
      <c r="A359" s="335" t="s">
        <v>86</v>
      </c>
      <c r="B359" s="334" t="s">
        <v>103</v>
      </c>
      <c r="C359" s="334" t="s">
        <v>132</v>
      </c>
      <c r="D359" s="334" t="s">
        <v>367</v>
      </c>
      <c r="E359" s="334" t="s">
        <v>87</v>
      </c>
      <c r="F359" s="342">
        <f>'Пр.4 Ведом23'!G251</f>
        <v>312.88399999999996</v>
      </c>
      <c r="G359" s="565">
        <f>'Пр.4 Ведом23'!H251</f>
        <v>312.88400000000001</v>
      </c>
      <c r="H359" s="114">
        <f t="shared" si="21"/>
        <v>100.00000000000003</v>
      </c>
      <c r="I359" s="214"/>
      <c r="J359" s="214"/>
      <c r="K359" s="214"/>
    </row>
    <row r="360" spans="1:11" s="131" customFormat="1" ht="31.5" x14ac:dyDescent="0.25">
      <c r="A360" s="335" t="s">
        <v>88</v>
      </c>
      <c r="B360" s="334" t="s">
        <v>103</v>
      </c>
      <c r="C360" s="334" t="s">
        <v>132</v>
      </c>
      <c r="D360" s="334" t="s">
        <v>367</v>
      </c>
      <c r="E360" s="334" t="s">
        <v>89</v>
      </c>
      <c r="F360" s="342">
        <f>F361</f>
        <v>31.288399999999999</v>
      </c>
      <c r="G360" s="565">
        <f>G361</f>
        <v>31.285530000000001</v>
      </c>
      <c r="H360" s="114">
        <f t="shared" si="21"/>
        <v>99.99082727144885</v>
      </c>
      <c r="I360" s="214"/>
      <c r="J360" s="214"/>
      <c r="K360" s="214"/>
    </row>
    <row r="361" spans="1:11" s="131" customFormat="1" ht="31.5" customHeight="1" x14ac:dyDescent="0.25">
      <c r="A361" s="335" t="s">
        <v>90</v>
      </c>
      <c r="B361" s="334" t="s">
        <v>103</v>
      </c>
      <c r="C361" s="334" t="s">
        <v>132</v>
      </c>
      <c r="D361" s="334" t="s">
        <v>367</v>
      </c>
      <c r="E361" s="334" t="s">
        <v>91</v>
      </c>
      <c r="F361" s="342">
        <f>'Пр.4 Ведом23'!G253</f>
        <v>31.288399999999999</v>
      </c>
      <c r="G361" s="565">
        <f>'Пр.4 Ведом23'!H253</f>
        <v>31.285530000000001</v>
      </c>
      <c r="H361" s="114">
        <f t="shared" si="21"/>
        <v>99.99082727144885</v>
      </c>
      <c r="I361" s="214"/>
      <c r="J361" s="214"/>
      <c r="K361" s="214"/>
    </row>
    <row r="362" spans="1:11" s="131" customFormat="1" ht="47.25" hidden="1" customHeight="1" x14ac:dyDescent="0.25">
      <c r="A362" s="116" t="s">
        <v>882</v>
      </c>
      <c r="B362" s="117" t="s">
        <v>103</v>
      </c>
      <c r="C362" s="117" t="s">
        <v>132</v>
      </c>
      <c r="D362" s="117" t="s">
        <v>169</v>
      </c>
      <c r="E362" s="119"/>
      <c r="F362" s="343">
        <f>F363</f>
        <v>0</v>
      </c>
      <c r="G362" s="566">
        <f>G363</f>
        <v>0</v>
      </c>
      <c r="H362" s="114" t="e">
        <f t="shared" si="21"/>
        <v>#DIV/0!</v>
      </c>
      <c r="I362" s="132"/>
      <c r="J362" s="132"/>
      <c r="K362" s="132"/>
    </row>
    <row r="363" spans="1:11" s="131" customFormat="1" ht="63" hidden="1" customHeight="1" x14ac:dyDescent="0.25">
      <c r="A363" s="116" t="s">
        <v>179</v>
      </c>
      <c r="B363" s="117" t="s">
        <v>103</v>
      </c>
      <c r="C363" s="117" t="s">
        <v>132</v>
      </c>
      <c r="D363" s="117" t="s">
        <v>176</v>
      </c>
      <c r="E363" s="117"/>
      <c r="F363" s="343">
        <f>F364+F368+F372+F376</f>
        <v>0</v>
      </c>
      <c r="G363" s="566">
        <f>G364+G368+G372+G376</f>
        <v>0</v>
      </c>
      <c r="H363" s="114" t="e">
        <f t="shared" si="21"/>
        <v>#DIV/0!</v>
      </c>
      <c r="I363" s="132"/>
      <c r="J363" s="132"/>
      <c r="K363" s="132"/>
    </row>
    <row r="364" spans="1:11" ht="47.25" hidden="1" customHeight="1" x14ac:dyDescent="0.25">
      <c r="A364" s="79" t="s">
        <v>467</v>
      </c>
      <c r="B364" s="117" t="s">
        <v>103</v>
      </c>
      <c r="C364" s="117" t="s">
        <v>132</v>
      </c>
      <c r="D364" s="117" t="s">
        <v>355</v>
      </c>
      <c r="E364" s="117"/>
      <c r="F364" s="343">
        <f t="shared" ref="F364:G366" si="23">F365</f>
        <v>0</v>
      </c>
      <c r="G364" s="566">
        <f t="shared" si="23"/>
        <v>0</v>
      </c>
      <c r="H364" s="114" t="e">
        <f t="shared" si="21"/>
        <v>#DIV/0!</v>
      </c>
    </row>
    <row r="365" spans="1:11" ht="63" hidden="1" customHeight="1" x14ac:dyDescent="0.25">
      <c r="A365" s="335" t="s">
        <v>503</v>
      </c>
      <c r="B365" s="334" t="s">
        <v>103</v>
      </c>
      <c r="C365" s="334" t="s">
        <v>132</v>
      </c>
      <c r="D365" s="334" t="s">
        <v>629</v>
      </c>
      <c r="E365" s="334"/>
      <c r="F365" s="342">
        <f t="shared" si="23"/>
        <v>0</v>
      </c>
      <c r="G365" s="565">
        <f t="shared" si="23"/>
        <v>0</v>
      </c>
      <c r="H365" s="114" t="e">
        <f t="shared" si="21"/>
        <v>#DIV/0!</v>
      </c>
    </row>
    <row r="366" spans="1:11" ht="31.5" hidden="1" customHeight="1" x14ac:dyDescent="0.25">
      <c r="A366" s="335" t="s">
        <v>137</v>
      </c>
      <c r="B366" s="334" t="s">
        <v>103</v>
      </c>
      <c r="C366" s="334" t="s">
        <v>132</v>
      </c>
      <c r="D366" s="334" t="s">
        <v>629</v>
      </c>
      <c r="E366" s="334" t="s">
        <v>138</v>
      </c>
      <c r="F366" s="342">
        <f t="shared" si="23"/>
        <v>0</v>
      </c>
      <c r="G366" s="565">
        <f t="shared" si="23"/>
        <v>0</v>
      </c>
      <c r="H366" s="114" t="e">
        <f t="shared" si="21"/>
        <v>#DIV/0!</v>
      </c>
    </row>
    <row r="367" spans="1:11" ht="31.5" hidden="1" customHeight="1" x14ac:dyDescent="0.25">
      <c r="A367" s="335" t="s">
        <v>139</v>
      </c>
      <c r="B367" s="334" t="s">
        <v>103</v>
      </c>
      <c r="C367" s="334" t="s">
        <v>132</v>
      </c>
      <c r="D367" s="334" t="s">
        <v>629</v>
      </c>
      <c r="E367" s="334" t="s">
        <v>140</v>
      </c>
      <c r="F367" s="306">
        <f>'Пр.4 Ведом23'!G348</f>
        <v>0</v>
      </c>
      <c r="G367" s="306">
        <f>'Пр.4 Ведом23'!H348</f>
        <v>0</v>
      </c>
      <c r="H367" s="114" t="e">
        <f t="shared" si="21"/>
        <v>#DIV/0!</v>
      </c>
    </row>
    <row r="368" spans="1:11" ht="31.5" hidden="1" customHeight="1" x14ac:dyDescent="0.25">
      <c r="A368" s="116" t="s">
        <v>466</v>
      </c>
      <c r="B368" s="117" t="s">
        <v>103</v>
      </c>
      <c r="C368" s="117" t="s">
        <v>132</v>
      </c>
      <c r="D368" s="117" t="s">
        <v>556</v>
      </c>
      <c r="E368" s="117"/>
      <c r="F368" s="307">
        <f t="shared" ref="F368:G370" si="24">F369</f>
        <v>0</v>
      </c>
      <c r="G368" s="307">
        <f t="shared" si="24"/>
        <v>0</v>
      </c>
      <c r="H368" s="114" t="e">
        <f t="shared" si="21"/>
        <v>#DIV/0!</v>
      </c>
    </row>
    <row r="369" spans="1:11" ht="110.25" hidden="1" customHeight="1" x14ac:dyDescent="0.25">
      <c r="A369" s="335" t="s">
        <v>181</v>
      </c>
      <c r="B369" s="334" t="s">
        <v>103</v>
      </c>
      <c r="C369" s="334" t="s">
        <v>132</v>
      </c>
      <c r="D369" s="334" t="s">
        <v>557</v>
      </c>
      <c r="E369" s="334"/>
      <c r="F369" s="306">
        <f t="shared" si="24"/>
        <v>0</v>
      </c>
      <c r="G369" s="306">
        <f t="shared" si="24"/>
        <v>0</v>
      </c>
      <c r="H369" s="114" t="e">
        <f t="shared" si="21"/>
        <v>#DIV/0!</v>
      </c>
    </row>
    <row r="370" spans="1:11" ht="31.5" hidden="1" customHeight="1" x14ac:dyDescent="0.25">
      <c r="A370" s="335" t="s">
        <v>149</v>
      </c>
      <c r="B370" s="334" t="s">
        <v>103</v>
      </c>
      <c r="C370" s="334" t="s">
        <v>132</v>
      </c>
      <c r="D370" s="334" t="s">
        <v>557</v>
      </c>
      <c r="E370" s="334" t="s">
        <v>150</v>
      </c>
      <c r="F370" s="306">
        <f t="shared" si="24"/>
        <v>0</v>
      </c>
      <c r="G370" s="306">
        <f t="shared" si="24"/>
        <v>0</v>
      </c>
      <c r="H370" s="114" t="e">
        <f t="shared" si="21"/>
        <v>#DIV/0!</v>
      </c>
    </row>
    <row r="371" spans="1:11" ht="63" hidden="1" customHeight="1" x14ac:dyDescent="0.25">
      <c r="A371" s="335" t="s">
        <v>499</v>
      </c>
      <c r="B371" s="334" t="s">
        <v>103</v>
      </c>
      <c r="C371" s="334" t="s">
        <v>132</v>
      </c>
      <c r="D371" s="334" t="s">
        <v>557</v>
      </c>
      <c r="E371" s="334" t="s">
        <v>180</v>
      </c>
      <c r="F371" s="342">
        <f>'Пр.4 Ведом23'!G352</f>
        <v>0</v>
      </c>
      <c r="G371" s="565">
        <f>'Пр.4 Ведом23'!H352</f>
        <v>0</v>
      </c>
      <c r="H371" s="114" t="e">
        <f t="shared" si="21"/>
        <v>#DIV/0!</v>
      </c>
    </row>
    <row r="372" spans="1:11" ht="31.5" hidden="1" customHeight="1" x14ac:dyDescent="0.25">
      <c r="A372" s="116" t="s">
        <v>424</v>
      </c>
      <c r="B372" s="117" t="s">
        <v>103</v>
      </c>
      <c r="C372" s="117" t="s">
        <v>132</v>
      </c>
      <c r="D372" s="117" t="s">
        <v>627</v>
      </c>
      <c r="E372" s="117"/>
      <c r="F372" s="305">
        <f t="shared" ref="F372:G374" si="25">F373</f>
        <v>0</v>
      </c>
      <c r="G372" s="305">
        <f t="shared" si="25"/>
        <v>0</v>
      </c>
      <c r="H372" s="114" t="e">
        <f t="shared" si="21"/>
        <v>#DIV/0!</v>
      </c>
    </row>
    <row r="373" spans="1:11" ht="31.5" hidden="1" customHeight="1" x14ac:dyDescent="0.25">
      <c r="A373" s="335" t="s">
        <v>182</v>
      </c>
      <c r="B373" s="334" t="s">
        <v>103</v>
      </c>
      <c r="C373" s="334" t="s">
        <v>132</v>
      </c>
      <c r="D373" s="334" t="s">
        <v>628</v>
      </c>
      <c r="E373" s="334"/>
      <c r="F373" s="303">
        <f t="shared" si="25"/>
        <v>0</v>
      </c>
      <c r="G373" s="303">
        <f t="shared" si="25"/>
        <v>0</v>
      </c>
      <c r="H373" s="114" t="e">
        <f t="shared" si="21"/>
        <v>#DIV/0!</v>
      </c>
    </row>
    <row r="374" spans="1:11" ht="31.5" hidden="1" customHeight="1" x14ac:dyDescent="0.25">
      <c r="A374" s="335" t="s">
        <v>88</v>
      </c>
      <c r="B374" s="334" t="s">
        <v>103</v>
      </c>
      <c r="C374" s="334" t="s">
        <v>132</v>
      </c>
      <c r="D374" s="334" t="s">
        <v>628</v>
      </c>
      <c r="E374" s="334" t="s">
        <v>89</v>
      </c>
      <c r="F374" s="342">
        <f t="shared" si="25"/>
        <v>0</v>
      </c>
      <c r="G374" s="565">
        <f t="shared" si="25"/>
        <v>0</v>
      </c>
      <c r="H374" s="114" t="e">
        <f t="shared" si="21"/>
        <v>#DIV/0!</v>
      </c>
    </row>
    <row r="375" spans="1:11" ht="31.5" hidden="1" customHeight="1" x14ac:dyDescent="0.25">
      <c r="A375" s="335" t="s">
        <v>90</v>
      </c>
      <c r="B375" s="334" t="s">
        <v>103</v>
      </c>
      <c r="C375" s="334" t="s">
        <v>132</v>
      </c>
      <c r="D375" s="334" t="s">
        <v>628</v>
      </c>
      <c r="E375" s="334" t="s">
        <v>91</v>
      </c>
      <c r="F375" s="342">
        <f>'Пр.4 Ведом23'!G356</f>
        <v>0</v>
      </c>
      <c r="G375" s="565">
        <f>'Пр.4 Ведом23'!H356</f>
        <v>0</v>
      </c>
      <c r="H375" s="114" t="e">
        <f t="shared" si="21"/>
        <v>#DIV/0!</v>
      </c>
    </row>
    <row r="376" spans="1:11" ht="31.5" hidden="1" customHeight="1" x14ac:dyDescent="0.25">
      <c r="A376" s="180" t="s">
        <v>512</v>
      </c>
      <c r="B376" s="117" t="s">
        <v>103</v>
      </c>
      <c r="C376" s="117" t="s">
        <v>132</v>
      </c>
      <c r="D376" s="117" t="s">
        <v>558</v>
      </c>
      <c r="E376" s="117"/>
      <c r="F376" s="343">
        <f t="shared" ref="F376:G378" si="26">F377</f>
        <v>0</v>
      </c>
      <c r="G376" s="566">
        <f t="shared" si="26"/>
        <v>0</v>
      </c>
      <c r="H376" s="114" t="e">
        <f t="shared" si="21"/>
        <v>#DIV/0!</v>
      </c>
    </row>
    <row r="377" spans="1:11" ht="31.5" hidden="1" customHeight="1" x14ac:dyDescent="0.25">
      <c r="A377" s="224" t="s">
        <v>545</v>
      </c>
      <c r="B377" s="334" t="s">
        <v>103</v>
      </c>
      <c r="C377" s="334" t="s">
        <v>132</v>
      </c>
      <c r="D377" s="334" t="s">
        <v>559</v>
      </c>
      <c r="E377" s="334"/>
      <c r="F377" s="342">
        <f t="shared" si="26"/>
        <v>0</v>
      </c>
      <c r="G377" s="565">
        <f t="shared" si="26"/>
        <v>0</v>
      </c>
      <c r="H377" s="114" t="e">
        <f t="shared" si="21"/>
        <v>#DIV/0!</v>
      </c>
    </row>
    <row r="378" spans="1:11" s="75" customFormat="1" ht="31.5" hidden="1" customHeight="1" x14ac:dyDescent="0.25">
      <c r="A378" s="335" t="s">
        <v>88</v>
      </c>
      <c r="B378" s="334" t="s">
        <v>103</v>
      </c>
      <c r="C378" s="334" t="s">
        <v>132</v>
      </c>
      <c r="D378" s="334" t="s">
        <v>559</v>
      </c>
      <c r="E378" s="334" t="s">
        <v>89</v>
      </c>
      <c r="F378" s="342">
        <f t="shared" si="26"/>
        <v>0</v>
      </c>
      <c r="G378" s="565">
        <f t="shared" si="26"/>
        <v>0</v>
      </c>
      <c r="H378" s="114" t="e">
        <f t="shared" si="21"/>
        <v>#DIV/0!</v>
      </c>
      <c r="I378" s="132"/>
      <c r="J378" s="132"/>
      <c r="K378" s="132"/>
    </row>
    <row r="379" spans="1:11" s="112" customFormat="1" ht="31.5" hidden="1" customHeight="1" x14ac:dyDescent="0.25">
      <c r="A379" s="335" t="s">
        <v>90</v>
      </c>
      <c r="B379" s="334" t="s">
        <v>103</v>
      </c>
      <c r="C379" s="334" t="s">
        <v>132</v>
      </c>
      <c r="D379" s="334" t="s">
        <v>559</v>
      </c>
      <c r="E379" s="334" t="s">
        <v>91</v>
      </c>
      <c r="F379" s="342">
        <f>'Пр.4 Ведом23'!G360</f>
        <v>0</v>
      </c>
      <c r="G379" s="565">
        <f>'Пр.4 Ведом23'!H360</f>
        <v>0</v>
      </c>
      <c r="H379" s="114" t="e">
        <f t="shared" si="21"/>
        <v>#DIV/0!</v>
      </c>
      <c r="I379" s="132"/>
      <c r="J379" s="132"/>
      <c r="K379" s="132"/>
    </row>
    <row r="380" spans="1:11" s="112" customFormat="1" ht="47.25" x14ac:dyDescent="0.25">
      <c r="A380" s="116" t="s">
        <v>886</v>
      </c>
      <c r="B380" s="117" t="s">
        <v>103</v>
      </c>
      <c r="C380" s="117" t="s">
        <v>132</v>
      </c>
      <c r="D380" s="117" t="s">
        <v>104</v>
      </c>
      <c r="E380" s="117"/>
      <c r="F380" s="343">
        <f t="shared" ref="F380:G383" si="27">F381</f>
        <v>1279</v>
      </c>
      <c r="G380" s="566">
        <f t="shared" si="27"/>
        <v>1279</v>
      </c>
      <c r="H380" s="113">
        <f t="shared" si="21"/>
        <v>100</v>
      </c>
      <c r="I380" s="132"/>
      <c r="J380" s="132"/>
      <c r="K380" s="132"/>
    </row>
    <row r="381" spans="1:11" s="112" customFormat="1" ht="47.25" x14ac:dyDescent="0.25">
      <c r="A381" s="116" t="s">
        <v>483</v>
      </c>
      <c r="B381" s="117" t="s">
        <v>103</v>
      </c>
      <c r="C381" s="117" t="s">
        <v>132</v>
      </c>
      <c r="D381" s="117" t="s">
        <v>481</v>
      </c>
      <c r="E381" s="117"/>
      <c r="F381" s="343">
        <f t="shared" si="27"/>
        <v>1279</v>
      </c>
      <c r="G381" s="566">
        <f t="shared" si="27"/>
        <v>1279</v>
      </c>
      <c r="H381" s="113">
        <f t="shared" si="21"/>
        <v>100</v>
      </c>
      <c r="I381" s="132"/>
      <c r="J381" s="132"/>
      <c r="K381" s="132"/>
    </row>
    <row r="382" spans="1:11" s="112" customFormat="1" ht="31.5" x14ac:dyDescent="0.25">
      <c r="A382" s="335" t="s">
        <v>484</v>
      </c>
      <c r="B382" s="334" t="s">
        <v>103</v>
      </c>
      <c r="C382" s="334" t="s">
        <v>132</v>
      </c>
      <c r="D382" s="334" t="s">
        <v>482</v>
      </c>
      <c r="E382" s="334"/>
      <c r="F382" s="342">
        <f t="shared" si="27"/>
        <v>1279</v>
      </c>
      <c r="G382" s="565">
        <f t="shared" si="27"/>
        <v>1279</v>
      </c>
      <c r="H382" s="114">
        <f t="shared" si="21"/>
        <v>100</v>
      </c>
      <c r="I382" s="132"/>
      <c r="J382" s="132"/>
      <c r="K382" s="132"/>
    </row>
    <row r="383" spans="1:11" s="112" customFormat="1" ht="15.75" x14ac:dyDescent="0.25">
      <c r="A383" s="335" t="s">
        <v>92</v>
      </c>
      <c r="B383" s="334" t="s">
        <v>103</v>
      </c>
      <c r="C383" s="334" t="s">
        <v>132</v>
      </c>
      <c r="D383" s="334" t="s">
        <v>482</v>
      </c>
      <c r="E383" s="334" t="s">
        <v>98</v>
      </c>
      <c r="F383" s="342">
        <f t="shared" si="27"/>
        <v>1279</v>
      </c>
      <c r="G383" s="565">
        <f t="shared" si="27"/>
        <v>1279</v>
      </c>
      <c r="H383" s="114">
        <f t="shared" si="21"/>
        <v>100</v>
      </c>
      <c r="I383" s="132"/>
      <c r="J383" s="132"/>
      <c r="K383" s="132"/>
    </row>
    <row r="384" spans="1:11" s="131" customFormat="1" ht="47.25" x14ac:dyDescent="0.25">
      <c r="A384" s="335" t="s">
        <v>110</v>
      </c>
      <c r="B384" s="334" t="s">
        <v>103</v>
      </c>
      <c r="C384" s="334" t="s">
        <v>132</v>
      </c>
      <c r="D384" s="334" t="s">
        <v>482</v>
      </c>
      <c r="E384" s="334" t="s">
        <v>105</v>
      </c>
      <c r="F384" s="342">
        <f>'Пр.4 Ведом23'!G258</f>
        <v>1279</v>
      </c>
      <c r="G384" s="565">
        <f>'Пр.4 Ведом23'!H258</f>
        <v>1279</v>
      </c>
      <c r="H384" s="114">
        <f t="shared" si="21"/>
        <v>100</v>
      </c>
      <c r="I384" s="132"/>
      <c r="J384" s="132"/>
      <c r="K384" s="132"/>
    </row>
    <row r="385" spans="1:12" s="131" customFormat="1" ht="15.75" x14ac:dyDescent="0.25">
      <c r="A385" s="130" t="s">
        <v>184</v>
      </c>
      <c r="B385" s="117" t="s">
        <v>129</v>
      </c>
      <c r="C385" s="117"/>
      <c r="D385" s="117"/>
      <c r="E385" s="117"/>
      <c r="F385" s="343">
        <f>F386+F404+F476+F541</f>
        <v>147754.86126999999</v>
      </c>
      <c r="G385" s="566">
        <f>G386+G404+G476+G541</f>
        <v>147373.86851999999</v>
      </c>
      <c r="H385" s="113">
        <f t="shared" si="21"/>
        <v>99.74214537056497</v>
      </c>
      <c r="I385" s="132"/>
      <c r="J385" s="132"/>
      <c r="K385" s="132"/>
    </row>
    <row r="386" spans="1:12" s="131" customFormat="1" ht="15.75" x14ac:dyDescent="0.25">
      <c r="A386" s="116" t="s">
        <v>185</v>
      </c>
      <c r="B386" s="117" t="s">
        <v>129</v>
      </c>
      <c r="C386" s="117" t="s">
        <v>81</v>
      </c>
      <c r="D386" s="117"/>
      <c r="E386" s="117"/>
      <c r="F386" s="343">
        <f>F387+F400</f>
        <v>19191.079279999998</v>
      </c>
      <c r="G386" s="566">
        <f>G387+G400</f>
        <v>18891.528600000001</v>
      </c>
      <c r="H386" s="113">
        <f t="shared" si="21"/>
        <v>98.439114988638636</v>
      </c>
      <c r="I386" s="132"/>
      <c r="J386" s="132"/>
      <c r="K386" s="132"/>
    </row>
    <row r="387" spans="1:12" s="112" customFormat="1" ht="15.75" x14ac:dyDescent="0.25">
      <c r="A387" s="116" t="s">
        <v>97</v>
      </c>
      <c r="B387" s="117" t="s">
        <v>129</v>
      </c>
      <c r="C387" s="117" t="s">
        <v>81</v>
      </c>
      <c r="D387" s="117" t="s">
        <v>329</v>
      </c>
      <c r="E387" s="117"/>
      <c r="F387" s="343">
        <f>F388</f>
        <v>11913.84627</v>
      </c>
      <c r="G387" s="566">
        <f>G388</f>
        <v>11913.824280000001</v>
      </c>
      <c r="H387" s="113">
        <f t="shared" si="21"/>
        <v>99.999815424846844</v>
      </c>
      <c r="I387" s="132"/>
      <c r="J387" s="132"/>
      <c r="K387" s="132"/>
    </row>
    <row r="388" spans="1:12" s="112" customFormat="1" ht="31.5" x14ac:dyDescent="0.25">
      <c r="A388" s="116" t="s">
        <v>330</v>
      </c>
      <c r="B388" s="117" t="s">
        <v>129</v>
      </c>
      <c r="C388" s="117" t="s">
        <v>81</v>
      </c>
      <c r="D388" s="117" t="s">
        <v>328</v>
      </c>
      <c r="E388" s="117"/>
      <c r="F388" s="343">
        <f>F389+F394+F397</f>
        <v>11913.84627</v>
      </c>
      <c r="G388" s="566">
        <f>G389+G394+G397</f>
        <v>11913.824280000001</v>
      </c>
      <c r="H388" s="113">
        <f t="shared" si="21"/>
        <v>99.999815424846844</v>
      </c>
      <c r="I388" s="132"/>
      <c r="J388" s="132"/>
      <c r="K388" s="132"/>
    </row>
    <row r="389" spans="1:12" s="112" customFormat="1" ht="15.75" x14ac:dyDescent="0.25">
      <c r="A389" s="335" t="s">
        <v>206</v>
      </c>
      <c r="B389" s="334" t="s">
        <v>270</v>
      </c>
      <c r="C389" s="334" t="s">
        <v>81</v>
      </c>
      <c r="D389" s="334" t="s">
        <v>391</v>
      </c>
      <c r="E389" s="117"/>
      <c r="F389" s="342">
        <f>F390</f>
        <v>30</v>
      </c>
      <c r="G389" s="565">
        <f>G390</f>
        <v>30</v>
      </c>
      <c r="H389" s="114">
        <f t="shared" si="21"/>
        <v>100</v>
      </c>
      <c r="I389" s="132"/>
      <c r="J389" s="132"/>
      <c r="K389" s="132"/>
    </row>
    <row r="390" spans="1:12" ht="31.5" x14ac:dyDescent="0.25">
      <c r="A390" s="335" t="s">
        <v>88</v>
      </c>
      <c r="B390" s="334" t="s">
        <v>129</v>
      </c>
      <c r="C390" s="334" t="s">
        <v>81</v>
      </c>
      <c r="D390" s="334" t="s">
        <v>391</v>
      </c>
      <c r="E390" s="334" t="s">
        <v>89</v>
      </c>
      <c r="F390" s="342">
        <f>F391</f>
        <v>30</v>
      </c>
      <c r="G390" s="565">
        <f>G391</f>
        <v>30</v>
      </c>
      <c r="H390" s="114">
        <f t="shared" si="21"/>
        <v>100</v>
      </c>
      <c r="K390" s="58"/>
      <c r="L390" s="15"/>
    </row>
    <row r="391" spans="1:12" s="264" customFormat="1" ht="31.5" customHeight="1" x14ac:dyDescent="0.25">
      <c r="A391" s="335" t="s">
        <v>90</v>
      </c>
      <c r="B391" s="334" t="s">
        <v>129</v>
      </c>
      <c r="C391" s="334" t="s">
        <v>81</v>
      </c>
      <c r="D391" s="334" t="s">
        <v>391</v>
      </c>
      <c r="E391" s="334" t="s">
        <v>91</v>
      </c>
      <c r="F391" s="342">
        <f>'Пр.4 Ведом23'!G1155</f>
        <v>30</v>
      </c>
      <c r="G391" s="565">
        <f>'Пр.4 Ведом23'!H1155</f>
        <v>30</v>
      </c>
      <c r="H391" s="114">
        <f t="shared" si="21"/>
        <v>100</v>
      </c>
    </row>
    <row r="392" spans="1:12" ht="15.75" hidden="1" customHeight="1" x14ac:dyDescent="0.25">
      <c r="A392" s="335" t="s">
        <v>92</v>
      </c>
      <c r="B392" s="334" t="s">
        <v>129</v>
      </c>
      <c r="C392" s="334" t="s">
        <v>81</v>
      </c>
      <c r="D392" s="334" t="s">
        <v>391</v>
      </c>
      <c r="E392" s="334" t="s">
        <v>98</v>
      </c>
      <c r="F392" s="342">
        <f>F393</f>
        <v>0</v>
      </c>
      <c r="G392" s="565">
        <f>G393</f>
        <v>0</v>
      </c>
      <c r="H392" s="114" t="e">
        <f t="shared" si="21"/>
        <v>#DIV/0!</v>
      </c>
    </row>
    <row r="393" spans="1:12" ht="47.25" hidden="1" customHeight="1" x14ac:dyDescent="0.25">
      <c r="A393" s="335" t="s">
        <v>110</v>
      </c>
      <c r="B393" s="334" t="s">
        <v>129</v>
      </c>
      <c r="C393" s="334" t="s">
        <v>81</v>
      </c>
      <c r="D393" s="334" t="s">
        <v>391</v>
      </c>
      <c r="E393" s="334" t="s">
        <v>105</v>
      </c>
      <c r="F393" s="342">
        <f>'Пр.4 Ведом23'!G1157</f>
        <v>0</v>
      </c>
      <c r="G393" s="565">
        <f>'Пр.4 Ведом23'!H1157</f>
        <v>0</v>
      </c>
      <c r="H393" s="114" t="e">
        <f t="shared" si="21"/>
        <v>#DIV/0!</v>
      </c>
    </row>
    <row r="394" spans="1:12" ht="31.5" x14ac:dyDescent="0.25">
      <c r="A394" s="19" t="s">
        <v>186</v>
      </c>
      <c r="B394" s="334" t="s">
        <v>129</v>
      </c>
      <c r="C394" s="334" t="s">
        <v>81</v>
      </c>
      <c r="D394" s="334" t="s">
        <v>392</v>
      </c>
      <c r="E394" s="117"/>
      <c r="F394" s="342">
        <f>F395</f>
        <v>5932.0923199999997</v>
      </c>
      <c r="G394" s="565">
        <f>G395</f>
        <v>5932.0703300000005</v>
      </c>
      <c r="H394" s="114">
        <f t="shared" si="21"/>
        <v>99.999629304487982</v>
      </c>
    </row>
    <row r="395" spans="1:12" ht="31.5" x14ac:dyDescent="0.25">
      <c r="A395" s="335" t="s">
        <v>88</v>
      </c>
      <c r="B395" s="334" t="s">
        <v>129</v>
      </c>
      <c r="C395" s="334" t="s">
        <v>81</v>
      </c>
      <c r="D395" s="334" t="s">
        <v>392</v>
      </c>
      <c r="E395" s="334" t="s">
        <v>89</v>
      </c>
      <c r="F395" s="342">
        <f>F396</f>
        <v>5932.0923199999997</v>
      </c>
      <c r="G395" s="565">
        <f>G396</f>
        <v>5932.0703300000005</v>
      </c>
      <c r="H395" s="114">
        <f t="shared" ref="H395:H458" si="28">G395/F395*100</f>
        <v>99.999629304487982</v>
      </c>
    </row>
    <row r="396" spans="1:12" ht="31.5" customHeight="1" x14ac:dyDescent="0.25">
      <c r="A396" s="335" t="s">
        <v>90</v>
      </c>
      <c r="B396" s="334" t="s">
        <v>129</v>
      </c>
      <c r="C396" s="334" t="s">
        <v>81</v>
      </c>
      <c r="D396" s="334" t="s">
        <v>392</v>
      </c>
      <c r="E396" s="334" t="s">
        <v>91</v>
      </c>
      <c r="F396" s="342">
        <f>'Пр.4 Ведом23'!G1160+'Пр.4 Ведом23'!G695</f>
        <v>5932.0923199999997</v>
      </c>
      <c r="G396" s="565">
        <f>'Пр.4 Ведом23'!H1160+'Пр.4 Ведом23'!H695</f>
        <v>5932.0703300000005</v>
      </c>
      <c r="H396" s="114">
        <f t="shared" si="28"/>
        <v>99.999629304487982</v>
      </c>
    </row>
    <row r="397" spans="1:12" ht="31.5" x14ac:dyDescent="0.25">
      <c r="A397" s="19" t="s">
        <v>371</v>
      </c>
      <c r="B397" s="334" t="s">
        <v>129</v>
      </c>
      <c r="C397" s="334" t="s">
        <v>81</v>
      </c>
      <c r="D397" s="334" t="s">
        <v>393</v>
      </c>
      <c r="E397" s="117"/>
      <c r="F397" s="342">
        <f>F398</f>
        <v>5951.7539500000003</v>
      </c>
      <c r="G397" s="565">
        <f>G398</f>
        <v>5951.7539500000003</v>
      </c>
      <c r="H397" s="114">
        <f t="shared" si="28"/>
        <v>100</v>
      </c>
    </row>
    <row r="398" spans="1:12" s="75" customFormat="1" ht="31.5" x14ac:dyDescent="0.25">
      <c r="A398" s="335" t="s">
        <v>88</v>
      </c>
      <c r="B398" s="334" t="s">
        <v>129</v>
      </c>
      <c r="C398" s="334" t="s">
        <v>81</v>
      </c>
      <c r="D398" s="334" t="s">
        <v>393</v>
      </c>
      <c r="E398" s="334" t="s">
        <v>89</v>
      </c>
      <c r="F398" s="342">
        <f>F399</f>
        <v>5951.7539500000003</v>
      </c>
      <c r="G398" s="565">
        <f>G399</f>
        <v>5951.7539500000003</v>
      </c>
      <c r="H398" s="114">
        <f t="shared" si="28"/>
        <v>100</v>
      </c>
      <c r="I398" s="132"/>
      <c r="J398" s="132"/>
      <c r="K398" s="132"/>
    </row>
    <row r="399" spans="1:12" s="264" customFormat="1" ht="31.5" customHeight="1" x14ac:dyDescent="0.25">
      <c r="A399" s="335" t="s">
        <v>90</v>
      </c>
      <c r="B399" s="334" t="s">
        <v>129</v>
      </c>
      <c r="C399" s="334" t="s">
        <v>81</v>
      </c>
      <c r="D399" s="334" t="s">
        <v>393</v>
      </c>
      <c r="E399" s="334" t="s">
        <v>91</v>
      </c>
      <c r="F399" s="342">
        <f>'Пр.4 Ведом23'!G1163+'Пр.4 Ведом23'!G698</f>
        <v>5951.7539500000003</v>
      </c>
      <c r="G399" s="565">
        <f>'Пр.4 Ведом23'!H1163+'Пр.4 Ведом23'!H698</f>
        <v>5951.7539500000003</v>
      </c>
      <c r="H399" s="114">
        <f t="shared" si="28"/>
        <v>100</v>
      </c>
    </row>
    <row r="400" spans="1:12" s="75" customFormat="1" ht="63" x14ac:dyDescent="0.25">
      <c r="A400" s="116" t="s">
        <v>862</v>
      </c>
      <c r="B400" s="117" t="s">
        <v>129</v>
      </c>
      <c r="C400" s="117" t="s">
        <v>81</v>
      </c>
      <c r="D400" s="117" t="s">
        <v>863</v>
      </c>
      <c r="E400" s="117"/>
      <c r="F400" s="343">
        <f t="shared" ref="F400:G402" si="29">F401</f>
        <v>7277.233009999999</v>
      </c>
      <c r="G400" s="566">
        <f t="shared" si="29"/>
        <v>6977.7043199999998</v>
      </c>
      <c r="H400" s="113">
        <f t="shared" si="28"/>
        <v>95.884030515603911</v>
      </c>
      <c r="I400" s="132"/>
      <c r="J400" s="132"/>
      <c r="K400" s="132"/>
    </row>
    <row r="401" spans="1:11" ht="31.5" x14ac:dyDescent="0.25">
      <c r="A401" s="130" t="s">
        <v>864</v>
      </c>
      <c r="B401" s="117" t="s">
        <v>129</v>
      </c>
      <c r="C401" s="117" t="s">
        <v>81</v>
      </c>
      <c r="D401" s="117" t="s">
        <v>867</v>
      </c>
      <c r="E401" s="117"/>
      <c r="F401" s="343">
        <f t="shared" si="29"/>
        <v>7277.233009999999</v>
      </c>
      <c r="G401" s="566">
        <f t="shared" si="29"/>
        <v>6977.7043199999998</v>
      </c>
      <c r="H401" s="113">
        <f t="shared" si="28"/>
        <v>95.884030515603911</v>
      </c>
    </row>
    <row r="402" spans="1:11" ht="31.5" x14ac:dyDescent="0.25">
      <c r="A402" s="335" t="s">
        <v>88</v>
      </c>
      <c r="B402" s="334" t="s">
        <v>129</v>
      </c>
      <c r="C402" s="334" t="s">
        <v>81</v>
      </c>
      <c r="D402" s="334" t="s">
        <v>866</v>
      </c>
      <c r="E402" s="334" t="s">
        <v>89</v>
      </c>
      <c r="F402" s="342">
        <f t="shared" si="29"/>
        <v>7277.233009999999</v>
      </c>
      <c r="G402" s="565">
        <f t="shared" si="29"/>
        <v>6977.7043199999998</v>
      </c>
      <c r="H402" s="114">
        <f t="shared" si="28"/>
        <v>95.884030515603911</v>
      </c>
    </row>
    <row r="403" spans="1:11" ht="31.5" customHeight="1" x14ac:dyDescent="0.25">
      <c r="A403" s="335" t="s">
        <v>90</v>
      </c>
      <c r="B403" s="334" t="s">
        <v>129</v>
      </c>
      <c r="C403" s="334" t="s">
        <v>81</v>
      </c>
      <c r="D403" s="334" t="s">
        <v>866</v>
      </c>
      <c r="E403" s="334" t="s">
        <v>91</v>
      </c>
      <c r="F403" s="342">
        <f>'Пр.4 Ведом23'!G1168</f>
        <v>7277.233009999999</v>
      </c>
      <c r="G403" s="565">
        <f>'Пр.4 Ведом23'!H1168</f>
        <v>6977.7043199999998</v>
      </c>
      <c r="H403" s="114">
        <f t="shared" si="28"/>
        <v>95.884030515603911</v>
      </c>
    </row>
    <row r="404" spans="1:11" ht="15.75" x14ac:dyDescent="0.25">
      <c r="A404" s="116" t="s">
        <v>207</v>
      </c>
      <c r="B404" s="117" t="s">
        <v>129</v>
      </c>
      <c r="C404" s="117" t="s">
        <v>119</v>
      </c>
      <c r="D404" s="117"/>
      <c r="E404" s="117"/>
      <c r="F404" s="343">
        <f>F405+F436+F471</f>
        <v>51312.45162</v>
      </c>
      <c r="G404" s="566">
        <f>G405+G436+G471</f>
        <v>51312.45162</v>
      </c>
      <c r="H404" s="113">
        <f t="shared" si="28"/>
        <v>100</v>
      </c>
    </row>
    <row r="405" spans="1:11" ht="15.75" x14ac:dyDescent="0.25">
      <c r="A405" s="116" t="s">
        <v>97</v>
      </c>
      <c r="B405" s="117" t="s">
        <v>129</v>
      </c>
      <c r="C405" s="117" t="s">
        <v>119</v>
      </c>
      <c r="D405" s="117" t="s">
        <v>329</v>
      </c>
      <c r="E405" s="117"/>
      <c r="F405" s="343">
        <f>F406+F419</f>
        <v>26421.086770000002</v>
      </c>
      <c r="G405" s="566">
        <f>G406+G419</f>
        <v>26421.086770000002</v>
      </c>
      <c r="H405" s="113">
        <f t="shared" si="28"/>
        <v>100</v>
      </c>
    </row>
    <row r="406" spans="1:11" ht="31.5" x14ac:dyDescent="0.25">
      <c r="A406" s="116" t="s">
        <v>330</v>
      </c>
      <c r="B406" s="117" t="s">
        <v>129</v>
      </c>
      <c r="C406" s="117" t="s">
        <v>119</v>
      </c>
      <c r="D406" s="117" t="s">
        <v>328</v>
      </c>
      <c r="E406" s="117"/>
      <c r="F406" s="305">
        <f>F407+F413</f>
        <v>26421.086770000002</v>
      </c>
      <c r="G406" s="305">
        <f>G407+G413</f>
        <v>26421.086770000002</v>
      </c>
      <c r="H406" s="113">
        <f t="shared" si="28"/>
        <v>100</v>
      </c>
    </row>
    <row r="407" spans="1:11" ht="15.75" x14ac:dyDescent="0.25">
      <c r="A407" s="317" t="s">
        <v>215</v>
      </c>
      <c r="B407" s="334" t="s">
        <v>129</v>
      </c>
      <c r="C407" s="334" t="s">
        <v>119</v>
      </c>
      <c r="D407" s="334" t="s">
        <v>410</v>
      </c>
      <c r="E407" s="334"/>
      <c r="F407" s="342">
        <f>F408+F410</f>
        <v>125</v>
      </c>
      <c r="G407" s="565">
        <f>G408+G410</f>
        <v>125</v>
      </c>
      <c r="H407" s="114">
        <f t="shared" si="28"/>
        <v>100</v>
      </c>
    </row>
    <row r="408" spans="1:11" ht="31.5" x14ac:dyDescent="0.25">
      <c r="A408" s="335" t="s">
        <v>88</v>
      </c>
      <c r="B408" s="334" t="s">
        <v>129</v>
      </c>
      <c r="C408" s="334" t="s">
        <v>119</v>
      </c>
      <c r="D408" s="334" t="s">
        <v>410</v>
      </c>
      <c r="E408" s="334" t="s">
        <v>89</v>
      </c>
      <c r="F408" s="344">
        <f>F409</f>
        <v>125</v>
      </c>
      <c r="G408" s="344">
        <f>G409</f>
        <v>125</v>
      </c>
      <c r="H408" s="114">
        <f t="shared" si="28"/>
        <v>100</v>
      </c>
    </row>
    <row r="409" spans="1:11" ht="31.5" customHeight="1" x14ac:dyDescent="0.25">
      <c r="A409" s="335" t="s">
        <v>90</v>
      </c>
      <c r="B409" s="334" t="s">
        <v>129</v>
      </c>
      <c r="C409" s="334" t="s">
        <v>119</v>
      </c>
      <c r="D409" s="334" t="s">
        <v>410</v>
      </c>
      <c r="E409" s="334" t="s">
        <v>91</v>
      </c>
      <c r="F409" s="344">
        <f>'Пр.4 Ведом23'!G1174</f>
        <v>125</v>
      </c>
      <c r="G409" s="344">
        <f>'Пр.4 Ведом23'!H1174</f>
        <v>125</v>
      </c>
      <c r="H409" s="114">
        <f t="shared" si="28"/>
        <v>100</v>
      </c>
    </row>
    <row r="410" spans="1:11" ht="15.75" hidden="1" customHeight="1" x14ac:dyDescent="0.25">
      <c r="A410" s="335" t="s">
        <v>92</v>
      </c>
      <c r="B410" s="334" t="s">
        <v>129</v>
      </c>
      <c r="C410" s="334" t="s">
        <v>119</v>
      </c>
      <c r="D410" s="334" t="s">
        <v>410</v>
      </c>
      <c r="E410" s="334" t="s">
        <v>98</v>
      </c>
      <c r="F410" s="344">
        <f>F411+F412</f>
        <v>0</v>
      </c>
      <c r="G410" s="344">
        <f>G411+G412</f>
        <v>0</v>
      </c>
      <c r="H410" s="114" t="e">
        <f t="shared" si="28"/>
        <v>#DIV/0!</v>
      </c>
    </row>
    <row r="411" spans="1:11" ht="47.25" hidden="1" customHeight="1" x14ac:dyDescent="0.25">
      <c r="A411" s="335" t="s">
        <v>110</v>
      </c>
      <c r="B411" s="334" t="s">
        <v>129</v>
      </c>
      <c r="C411" s="334" t="s">
        <v>119</v>
      </c>
      <c r="D411" s="334" t="s">
        <v>410</v>
      </c>
      <c r="E411" s="334" t="s">
        <v>105</v>
      </c>
      <c r="F411" s="303">
        <f>'Пр.4 Ведом23'!G1176</f>
        <v>0</v>
      </c>
      <c r="G411" s="303">
        <f>'Пр.4 Ведом23'!H1176</f>
        <v>0</v>
      </c>
      <c r="H411" s="114" t="e">
        <f t="shared" si="28"/>
        <v>#DIV/0!</v>
      </c>
    </row>
    <row r="412" spans="1:11" ht="15.75" hidden="1" customHeight="1" x14ac:dyDescent="0.25">
      <c r="A412" s="335" t="s">
        <v>99</v>
      </c>
      <c r="B412" s="334" t="s">
        <v>129</v>
      </c>
      <c r="C412" s="334" t="s">
        <v>119</v>
      </c>
      <c r="D412" s="334" t="s">
        <v>410</v>
      </c>
      <c r="E412" s="334" t="s">
        <v>100</v>
      </c>
      <c r="F412" s="303">
        <f>'Пр.4 Ведом23'!G1177</f>
        <v>0</v>
      </c>
      <c r="G412" s="303">
        <f>'Пр.4 Ведом23'!H1177</f>
        <v>0</v>
      </c>
      <c r="H412" s="114" t="e">
        <f t="shared" si="28"/>
        <v>#DIV/0!</v>
      </c>
    </row>
    <row r="413" spans="1:11" ht="31.5" x14ac:dyDescent="0.25">
      <c r="A413" s="19" t="s">
        <v>371</v>
      </c>
      <c r="B413" s="334" t="s">
        <v>129</v>
      </c>
      <c r="C413" s="334" t="s">
        <v>119</v>
      </c>
      <c r="D413" s="334" t="s">
        <v>393</v>
      </c>
      <c r="E413" s="334"/>
      <c r="F413" s="303">
        <f>F414+F416</f>
        <v>26296.086770000002</v>
      </c>
      <c r="G413" s="303">
        <f>G414+G416</f>
        <v>26296.086770000002</v>
      </c>
      <c r="H413" s="114">
        <f t="shared" si="28"/>
        <v>100</v>
      </c>
      <c r="I413" s="58">
        <f>F413+F407+F437+F467</f>
        <v>51298.901620000004</v>
      </c>
    </row>
    <row r="414" spans="1:11" s="75" customFormat="1" ht="31.5" x14ac:dyDescent="0.25">
      <c r="A414" s="335" t="s">
        <v>88</v>
      </c>
      <c r="B414" s="334" t="s">
        <v>129</v>
      </c>
      <c r="C414" s="334" t="s">
        <v>119</v>
      </c>
      <c r="D414" s="334" t="s">
        <v>393</v>
      </c>
      <c r="E414" s="334" t="s">
        <v>89</v>
      </c>
      <c r="F414" s="303">
        <f>F415</f>
        <v>25244.37976</v>
      </c>
      <c r="G414" s="303">
        <f>G415</f>
        <v>25244.37976</v>
      </c>
      <c r="H414" s="114">
        <f t="shared" si="28"/>
        <v>100</v>
      </c>
      <c r="I414" s="132"/>
      <c r="J414" s="132"/>
      <c r="K414" s="132"/>
    </row>
    <row r="415" spans="1:11" s="270" customFormat="1" ht="31.5" customHeight="1" x14ac:dyDescent="0.25">
      <c r="A415" s="335" t="s">
        <v>90</v>
      </c>
      <c r="B415" s="334" t="s">
        <v>129</v>
      </c>
      <c r="C415" s="334" t="s">
        <v>119</v>
      </c>
      <c r="D415" s="334" t="s">
        <v>393</v>
      </c>
      <c r="E415" s="334" t="s">
        <v>91</v>
      </c>
      <c r="F415" s="303">
        <f>'Пр.4 Ведом23'!G1180</f>
        <v>25244.37976</v>
      </c>
      <c r="G415" s="303">
        <f>'Пр.4 Ведом23'!H1180</f>
        <v>25244.37976</v>
      </c>
      <c r="H415" s="114">
        <f t="shared" si="28"/>
        <v>100</v>
      </c>
    </row>
    <row r="416" spans="1:11" s="75" customFormat="1" ht="15.75" x14ac:dyDescent="0.25">
      <c r="A416" s="335" t="s">
        <v>92</v>
      </c>
      <c r="B416" s="334" t="s">
        <v>129</v>
      </c>
      <c r="C416" s="334" t="s">
        <v>119</v>
      </c>
      <c r="D416" s="334" t="s">
        <v>393</v>
      </c>
      <c r="E416" s="334" t="s">
        <v>98</v>
      </c>
      <c r="F416" s="303">
        <f>F417+F418</f>
        <v>1051.7070100000001</v>
      </c>
      <c r="G416" s="303">
        <f>G417+G418</f>
        <v>1051.7070100000001</v>
      </c>
      <c r="H416" s="114">
        <f t="shared" si="28"/>
        <v>100</v>
      </c>
      <c r="I416" s="132"/>
      <c r="J416" s="132"/>
      <c r="K416" s="132"/>
    </row>
    <row r="417" spans="1:11" s="264" customFormat="1" ht="15.75" x14ac:dyDescent="0.25">
      <c r="A417" s="335" t="s">
        <v>99</v>
      </c>
      <c r="B417" s="334" t="s">
        <v>129</v>
      </c>
      <c r="C417" s="334" t="s">
        <v>119</v>
      </c>
      <c r="D417" s="334" t="s">
        <v>393</v>
      </c>
      <c r="E417" s="334" t="s">
        <v>100</v>
      </c>
      <c r="F417" s="303">
        <f>'Пр.4 Ведом23'!G1182</f>
        <v>1051.7070100000001</v>
      </c>
      <c r="G417" s="303">
        <f>'Пр.4 Ведом23'!H1182</f>
        <v>1051.7070100000001</v>
      </c>
      <c r="H417" s="114">
        <f t="shared" si="28"/>
        <v>100</v>
      </c>
    </row>
    <row r="418" spans="1:11" s="75" customFormat="1" ht="15.75" hidden="1" customHeight="1" x14ac:dyDescent="0.25">
      <c r="A418" s="335" t="s">
        <v>258</v>
      </c>
      <c r="B418" s="334" t="s">
        <v>129</v>
      </c>
      <c r="C418" s="334" t="s">
        <v>119</v>
      </c>
      <c r="D418" s="334" t="s">
        <v>393</v>
      </c>
      <c r="E418" s="334" t="s">
        <v>94</v>
      </c>
      <c r="F418" s="303">
        <f>'Пр.4 Ведом23'!G1183</f>
        <v>0</v>
      </c>
      <c r="G418" s="303">
        <f>'Пр.4 Ведом23'!H1183</f>
        <v>0</v>
      </c>
      <c r="H418" s="114" t="e">
        <f t="shared" si="28"/>
        <v>#DIV/0!</v>
      </c>
      <c r="I418" s="132"/>
      <c r="J418" s="132"/>
      <c r="K418" s="132"/>
    </row>
    <row r="419" spans="1:11" s="75" customFormat="1" ht="47.25" hidden="1" customHeight="1" x14ac:dyDescent="0.25">
      <c r="A419" s="116" t="s">
        <v>441</v>
      </c>
      <c r="B419" s="117" t="s">
        <v>129</v>
      </c>
      <c r="C419" s="117" t="s">
        <v>119</v>
      </c>
      <c r="D419" s="117" t="s">
        <v>411</v>
      </c>
      <c r="E419" s="117"/>
      <c r="F419" s="305">
        <f>F420+F425+F428+F433</f>
        <v>0</v>
      </c>
      <c r="G419" s="305">
        <f>G420+G425+G428+G433</f>
        <v>0</v>
      </c>
      <c r="H419" s="114" t="e">
        <f t="shared" si="28"/>
        <v>#DIV/0!</v>
      </c>
      <c r="I419" s="132"/>
      <c r="J419" s="132"/>
      <c r="K419" s="132"/>
    </row>
    <row r="420" spans="1:11" s="75" customFormat="1" ht="47.25" hidden="1" customHeight="1" x14ac:dyDescent="0.25">
      <c r="A420" s="335" t="s">
        <v>298</v>
      </c>
      <c r="B420" s="334" t="s">
        <v>129</v>
      </c>
      <c r="C420" s="334" t="s">
        <v>119</v>
      </c>
      <c r="D420" s="334" t="s">
        <v>412</v>
      </c>
      <c r="E420" s="334"/>
      <c r="F420" s="303">
        <f>F421+F423</f>
        <v>0</v>
      </c>
      <c r="G420" s="303">
        <f>G421+G423</f>
        <v>0</v>
      </c>
      <c r="H420" s="114" t="e">
        <f t="shared" si="28"/>
        <v>#DIV/0!</v>
      </c>
      <c r="I420" s="132"/>
      <c r="J420" s="132"/>
      <c r="K420" s="132"/>
    </row>
    <row r="421" spans="1:11" ht="31.5" hidden="1" customHeight="1" x14ac:dyDescent="0.25">
      <c r="A421" s="335" t="s">
        <v>88</v>
      </c>
      <c r="B421" s="334" t="s">
        <v>129</v>
      </c>
      <c r="C421" s="334" t="s">
        <v>119</v>
      </c>
      <c r="D421" s="334" t="s">
        <v>412</v>
      </c>
      <c r="E421" s="334" t="s">
        <v>89</v>
      </c>
      <c r="F421" s="344">
        <f>F422</f>
        <v>0</v>
      </c>
      <c r="G421" s="344">
        <f>G422</f>
        <v>0</v>
      </c>
      <c r="H421" s="114" t="e">
        <f t="shared" si="28"/>
        <v>#DIV/0!</v>
      </c>
    </row>
    <row r="422" spans="1:11" ht="31.5" hidden="1" customHeight="1" x14ac:dyDescent="0.25">
      <c r="A422" s="335" t="s">
        <v>90</v>
      </c>
      <c r="B422" s="334" t="s">
        <v>129</v>
      </c>
      <c r="C422" s="334" t="s">
        <v>119</v>
      </c>
      <c r="D422" s="334" t="s">
        <v>412</v>
      </c>
      <c r="E422" s="334" t="s">
        <v>91</v>
      </c>
      <c r="F422" s="344">
        <f>'Пр.4 Ведом23'!G1187</f>
        <v>0</v>
      </c>
      <c r="G422" s="344">
        <f>'Пр.4 Ведом23'!H1187</f>
        <v>0</v>
      </c>
      <c r="H422" s="114" t="e">
        <f t="shared" si="28"/>
        <v>#DIV/0!</v>
      </c>
    </row>
    <row r="423" spans="1:11" ht="15.75" hidden="1" customHeight="1" x14ac:dyDescent="0.25">
      <c r="A423" s="335" t="s">
        <v>92</v>
      </c>
      <c r="B423" s="334" t="s">
        <v>129</v>
      </c>
      <c r="C423" s="334" t="s">
        <v>119</v>
      </c>
      <c r="D423" s="334" t="s">
        <v>412</v>
      </c>
      <c r="E423" s="334" t="s">
        <v>302</v>
      </c>
      <c r="F423" s="344">
        <f>F424</f>
        <v>0</v>
      </c>
      <c r="G423" s="344">
        <f>G424</f>
        <v>0</v>
      </c>
      <c r="H423" s="114" t="e">
        <f t="shared" si="28"/>
        <v>#DIV/0!</v>
      </c>
    </row>
    <row r="424" spans="1:11" ht="15.75" hidden="1" customHeight="1" x14ac:dyDescent="0.25">
      <c r="A424" s="335" t="s">
        <v>223</v>
      </c>
      <c r="B424" s="334" t="s">
        <v>129</v>
      </c>
      <c r="C424" s="334" t="s">
        <v>119</v>
      </c>
      <c r="D424" s="334" t="s">
        <v>412</v>
      </c>
      <c r="E424" s="334" t="s">
        <v>486</v>
      </c>
      <c r="F424" s="344">
        <f>'Пр.4 Ведом23'!G1189</f>
        <v>0</v>
      </c>
      <c r="G424" s="344">
        <f>'Пр.4 Ведом23'!H1189</f>
        <v>0</v>
      </c>
      <c r="H424" s="114" t="e">
        <f t="shared" si="28"/>
        <v>#DIV/0!</v>
      </c>
    </row>
    <row r="425" spans="1:11" ht="31.5" hidden="1" customHeight="1" x14ac:dyDescent="0.25">
      <c r="A425" s="335" t="s">
        <v>870</v>
      </c>
      <c r="B425" s="334" t="s">
        <v>129</v>
      </c>
      <c r="C425" s="334" t="s">
        <v>119</v>
      </c>
      <c r="D425" s="334" t="s">
        <v>413</v>
      </c>
      <c r="E425" s="334"/>
      <c r="F425" s="344">
        <f>F426</f>
        <v>0</v>
      </c>
      <c r="G425" s="344">
        <f>G426</f>
        <v>0</v>
      </c>
      <c r="H425" s="114" t="e">
        <f t="shared" si="28"/>
        <v>#DIV/0!</v>
      </c>
    </row>
    <row r="426" spans="1:11" ht="31.5" hidden="1" customHeight="1" x14ac:dyDescent="0.25">
      <c r="A426" s="335" t="s">
        <v>88</v>
      </c>
      <c r="B426" s="334" t="s">
        <v>129</v>
      </c>
      <c r="C426" s="334" t="s">
        <v>119</v>
      </c>
      <c r="D426" s="334" t="s">
        <v>413</v>
      </c>
      <c r="E426" s="334" t="s">
        <v>89</v>
      </c>
      <c r="F426" s="344">
        <f>F427</f>
        <v>0</v>
      </c>
      <c r="G426" s="344">
        <f>G427</f>
        <v>0</v>
      </c>
      <c r="H426" s="114" t="e">
        <f t="shared" si="28"/>
        <v>#DIV/0!</v>
      </c>
    </row>
    <row r="427" spans="1:11" ht="31.5" hidden="1" customHeight="1" x14ac:dyDescent="0.25">
      <c r="A427" s="335" t="s">
        <v>90</v>
      </c>
      <c r="B427" s="334" t="s">
        <v>129</v>
      </c>
      <c r="C427" s="334" t="s">
        <v>119</v>
      </c>
      <c r="D427" s="334" t="s">
        <v>413</v>
      </c>
      <c r="E427" s="334" t="s">
        <v>91</v>
      </c>
      <c r="F427" s="344">
        <f>'Пр.4 Ведом23'!G1192</f>
        <v>0</v>
      </c>
      <c r="G427" s="344">
        <f>'Пр.4 Ведом23'!H1192</f>
        <v>0</v>
      </c>
      <c r="H427" s="114" t="e">
        <f t="shared" si="28"/>
        <v>#DIV/0!</v>
      </c>
    </row>
    <row r="428" spans="1:11" ht="47.25" hidden="1" customHeight="1" x14ac:dyDescent="0.25">
      <c r="A428" s="66" t="s">
        <v>299</v>
      </c>
      <c r="B428" s="334" t="s">
        <v>129</v>
      </c>
      <c r="C428" s="334" t="s">
        <v>119</v>
      </c>
      <c r="D428" s="334" t="s">
        <v>414</v>
      </c>
      <c r="E428" s="334"/>
      <c r="F428" s="344">
        <f>F429+F431</f>
        <v>0</v>
      </c>
      <c r="G428" s="344">
        <f>G429+G431</f>
        <v>0</v>
      </c>
      <c r="H428" s="114" t="e">
        <f t="shared" si="28"/>
        <v>#DIV/0!</v>
      </c>
    </row>
    <row r="429" spans="1:11" s="75" customFormat="1" ht="31.5" hidden="1" customHeight="1" x14ac:dyDescent="0.25">
      <c r="A429" s="335" t="s">
        <v>303</v>
      </c>
      <c r="B429" s="334" t="s">
        <v>129</v>
      </c>
      <c r="C429" s="334" t="s">
        <v>119</v>
      </c>
      <c r="D429" s="334" t="s">
        <v>414</v>
      </c>
      <c r="E429" s="334" t="s">
        <v>302</v>
      </c>
      <c r="F429" s="344">
        <f>F430</f>
        <v>0</v>
      </c>
      <c r="G429" s="344">
        <f>G430</f>
        <v>0</v>
      </c>
      <c r="H429" s="114" t="e">
        <f t="shared" si="28"/>
        <v>#DIV/0!</v>
      </c>
      <c r="I429" s="132"/>
      <c r="J429" s="132"/>
      <c r="K429" s="132"/>
    </row>
    <row r="430" spans="1:11" s="75" customFormat="1" ht="63" hidden="1" customHeight="1" x14ac:dyDescent="0.25">
      <c r="A430" s="335" t="s">
        <v>471</v>
      </c>
      <c r="B430" s="334" t="s">
        <v>129</v>
      </c>
      <c r="C430" s="334" t="s">
        <v>119</v>
      </c>
      <c r="D430" s="334" t="s">
        <v>414</v>
      </c>
      <c r="E430" s="334" t="s">
        <v>486</v>
      </c>
      <c r="F430" s="344">
        <f>'Пр.4 Ведом23'!G1195</f>
        <v>0</v>
      </c>
      <c r="G430" s="344">
        <f>'Пр.4 Ведом23'!H1195</f>
        <v>0</v>
      </c>
      <c r="H430" s="114" t="e">
        <f t="shared" si="28"/>
        <v>#DIV/0!</v>
      </c>
      <c r="I430" s="132"/>
      <c r="J430" s="132"/>
      <c r="K430" s="132"/>
    </row>
    <row r="431" spans="1:11" s="75" customFormat="1" ht="15.75" hidden="1" customHeight="1" x14ac:dyDescent="0.25">
      <c r="A431" s="335" t="s">
        <v>92</v>
      </c>
      <c r="B431" s="334" t="s">
        <v>129</v>
      </c>
      <c r="C431" s="334" t="s">
        <v>119</v>
      </c>
      <c r="D431" s="334" t="s">
        <v>414</v>
      </c>
      <c r="E431" s="334" t="s">
        <v>98</v>
      </c>
      <c r="F431" s="344">
        <f>F432</f>
        <v>0</v>
      </c>
      <c r="G431" s="344">
        <f>G432</f>
        <v>0</v>
      </c>
      <c r="H431" s="114" t="e">
        <f t="shared" si="28"/>
        <v>#DIV/0!</v>
      </c>
      <c r="I431" s="132"/>
      <c r="J431" s="132"/>
      <c r="K431" s="132"/>
    </row>
    <row r="432" spans="1:11" s="75" customFormat="1" ht="15.75" hidden="1" customHeight="1" x14ac:dyDescent="0.25">
      <c r="A432" s="335" t="s">
        <v>258</v>
      </c>
      <c r="B432" s="334" t="s">
        <v>129</v>
      </c>
      <c r="C432" s="334" t="s">
        <v>119</v>
      </c>
      <c r="D432" s="334" t="s">
        <v>414</v>
      </c>
      <c r="E432" s="334" t="s">
        <v>94</v>
      </c>
      <c r="F432" s="344">
        <f>'Пр.4 Ведом23'!G1197</f>
        <v>0</v>
      </c>
      <c r="G432" s="344">
        <f>'Пр.4 Ведом23'!H1197</f>
        <v>0</v>
      </c>
      <c r="H432" s="114" t="e">
        <f t="shared" si="28"/>
        <v>#DIV/0!</v>
      </c>
      <c r="I432" s="132"/>
      <c r="J432" s="132"/>
      <c r="K432" s="132"/>
    </row>
    <row r="433" spans="1:11" s="75" customFormat="1" ht="31.5" hidden="1" customHeight="1" x14ac:dyDescent="0.25">
      <c r="A433" s="335" t="s">
        <v>487</v>
      </c>
      <c r="B433" s="334" t="s">
        <v>129</v>
      </c>
      <c r="C433" s="334" t="s">
        <v>119</v>
      </c>
      <c r="D433" s="334" t="s">
        <v>488</v>
      </c>
      <c r="E433" s="334"/>
      <c r="F433" s="344">
        <f>F434</f>
        <v>0</v>
      </c>
      <c r="G433" s="344">
        <f>G434</f>
        <v>0</v>
      </c>
      <c r="H433" s="114" t="e">
        <f t="shared" si="28"/>
        <v>#DIV/0!</v>
      </c>
      <c r="I433" s="132"/>
      <c r="J433" s="132"/>
      <c r="K433" s="132"/>
    </row>
    <row r="434" spans="1:11" s="75" customFormat="1" ht="31.5" hidden="1" customHeight="1" x14ac:dyDescent="0.25">
      <c r="A434" s="335" t="s">
        <v>88</v>
      </c>
      <c r="B434" s="334" t="s">
        <v>129</v>
      </c>
      <c r="C434" s="334" t="s">
        <v>119</v>
      </c>
      <c r="D434" s="334" t="s">
        <v>488</v>
      </c>
      <c r="E434" s="334" t="s">
        <v>89</v>
      </c>
      <c r="F434" s="344">
        <f>F435</f>
        <v>0</v>
      </c>
      <c r="G434" s="344">
        <f>G435</f>
        <v>0</v>
      </c>
      <c r="H434" s="114" t="e">
        <f t="shared" si="28"/>
        <v>#DIV/0!</v>
      </c>
      <c r="I434" s="132"/>
      <c r="J434" s="132"/>
      <c r="K434" s="132"/>
    </row>
    <row r="435" spans="1:11" s="75" customFormat="1" ht="31.5" hidden="1" customHeight="1" x14ac:dyDescent="0.25">
      <c r="A435" s="335" t="s">
        <v>90</v>
      </c>
      <c r="B435" s="334" t="s">
        <v>129</v>
      </c>
      <c r="C435" s="334" t="s">
        <v>119</v>
      </c>
      <c r="D435" s="334" t="s">
        <v>488</v>
      </c>
      <c r="E435" s="334" t="s">
        <v>91</v>
      </c>
      <c r="F435" s="344">
        <f>'Пр.4 Ведом23'!G1200</f>
        <v>0</v>
      </c>
      <c r="G435" s="344">
        <f>'Пр.4 Ведом23'!H1200</f>
        <v>0</v>
      </c>
      <c r="H435" s="114" t="e">
        <f t="shared" si="28"/>
        <v>#DIV/0!</v>
      </c>
      <c r="I435" s="132"/>
      <c r="J435" s="132"/>
      <c r="K435" s="132"/>
    </row>
    <row r="436" spans="1:11" s="75" customFormat="1" ht="63" x14ac:dyDescent="0.25">
      <c r="A436" s="116" t="s">
        <v>871</v>
      </c>
      <c r="B436" s="117" t="s">
        <v>129</v>
      </c>
      <c r="C436" s="117" t="s">
        <v>119</v>
      </c>
      <c r="D436" s="117" t="s">
        <v>208</v>
      </c>
      <c r="E436" s="117"/>
      <c r="F436" s="302">
        <f>F437+F441+F447+F451+F455+F459+F463+F467</f>
        <v>24891.364849999998</v>
      </c>
      <c r="G436" s="567">
        <f>G437+G441+G447+G451+G455+G459+G463+G467</f>
        <v>24891.364849999998</v>
      </c>
      <c r="H436" s="113">
        <f t="shared" si="28"/>
        <v>100</v>
      </c>
      <c r="I436" s="132"/>
      <c r="J436" s="132"/>
      <c r="K436" s="132"/>
    </row>
    <row r="437" spans="1:11" s="75" customFormat="1" ht="31.5" x14ac:dyDescent="0.25">
      <c r="A437" s="116" t="s">
        <v>394</v>
      </c>
      <c r="B437" s="117" t="s">
        <v>129</v>
      </c>
      <c r="C437" s="117" t="s">
        <v>119</v>
      </c>
      <c r="D437" s="117" t="s">
        <v>396</v>
      </c>
      <c r="E437" s="117"/>
      <c r="F437" s="302">
        <f t="shared" ref="F437:G439" si="30">F438</f>
        <v>635.06700000000001</v>
      </c>
      <c r="G437" s="567">
        <f t="shared" si="30"/>
        <v>635.06700000000001</v>
      </c>
      <c r="H437" s="113">
        <f t="shared" si="28"/>
        <v>100</v>
      </c>
      <c r="I437" s="132"/>
      <c r="J437" s="132"/>
      <c r="K437" s="132"/>
    </row>
    <row r="438" spans="1:11" s="75" customFormat="1" ht="15.75" x14ac:dyDescent="0.25">
      <c r="A438" s="26" t="s">
        <v>395</v>
      </c>
      <c r="B438" s="217" t="s">
        <v>129</v>
      </c>
      <c r="C438" s="217" t="s">
        <v>119</v>
      </c>
      <c r="D438" s="334" t="s">
        <v>397</v>
      </c>
      <c r="E438" s="217"/>
      <c r="F438" s="344">
        <f t="shared" si="30"/>
        <v>635.06700000000001</v>
      </c>
      <c r="G438" s="344">
        <f t="shared" si="30"/>
        <v>635.06700000000001</v>
      </c>
      <c r="H438" s="114">
        <f t="shared" si="28"/>
        <v>100</v>
      </c>
      <c r="I438" s="132"/>
      <c r="J438" s="132"/>
      <c r="K438" s="132"/>
    </row>
    <row r="439" spans="1:11" s="75" customFormat="1" ht="31.5" x14ac:dyDescent="0.25">
      <c r="A439" s="20" t="s">
        <v>88</v>
      </c>
      <c r="B439" s="217" t="s">
        <v>129</v>
      </c>
      <c r="C439" s="217" t="s">
        <v>119</v>
      </c>
      <c r="D439" s="334" t="s">
        <v>397</v>
      </c>
      <c r="E439" s="217" t="s">
        <v>89</v>
      </c>
      <c r="F439" s="344">
        <f t="shared" si="30"/>
        <v>635.06700000000001</v>
      </c>
      <c r="G439" s="344">
        <f t="shared" si="30"/>
        <v>635.06700000000001</v>
      </c>
      <c r="H439" s="114">
        <f t="shared" si="28"/>
        <v>100</v>
      </c>
      <c r="I439" s="132"/>
      <c r="J439" s="132"/>
      <c r="K439" s="132"/>
    </row>
    <row r="440" spans="1:11" s="264" customFormat="1" ht="31.5" customHeight="1" x14ac:dyDescent="0.25">
      <c r="A440" s="20" t="s">
        <v>90</v>
      </c>
      <c r="B440" s="217" t="s">
        <v>129</v>
      </c>
      <c r="C440" s="217" t="s">
        <v>119</v>
      </c>
      <c r="D440" s="334" t="s">
        <v>397</v>
      </c>
      <c r="E440" s="217" t="s">
        <v>91</v>
      </c>
      <c r="F440" s="344">
        <f>'Пр.4 Ведом23'!G1205</f>
        <v>635.06700000000001</v>
      </c>
      <c r="G440" s="344">
        <f>'Пр.4 Ведом23'!H1205</f>
        <v>635.06700000000001</v>
      </c>
      <c r="H440" s="114">
        <f t="shared" si="28"/>
        <v>100</v>
      </c>
    </row>
    <row r="441" spans="1:11" s="75" customFormat="1" ht="31.5" hidden="1" customHeight="1" x14ac:dyDescent="0.25">
      <c r="A441" s="22" t="s">
        <v>398</v>
      </c>
      <c r="B441" s="6" t="s">
        <v>129</v>
      </c>
      <c r="C441" s="6" t="s">
        <v>119</v>
      </c>
      <c r="D441" s="117" t="s">
        <v>399</v>
      </c>
      <c r="E441" s="6"/>
      <c r="F441" s="302">
        <f>F442</f>
        <v>0</v>
      </c>
      <c r="G441" s="567">
        <f>G442</f>
        <v>0</v>
      </c>
      <c r="H441" s="114" t="e">
        <f t="shared" si="28"/>
        <v>#DIV/0!</v>
      </c>
      <c r="I441" s="132"/>
      <c r="J441" s="132"/>
      <c r="K441" s="132"/>
    </row>
    <row r="442" spans="1:11" s="75" customFormat="1" ht="15.75" hidden="1" customHeight="1" x14ac:dyDescent="0.25">
      <c r="A442" s="26" t="s">
        <v>209</v>
      </c>
      <c r="B442" s="217" t="s">
        <v>129</v>
      </c>
      <c r="C442" s="217" t="s">
        <v>119</v>
      </c>
      <c r="D442" s="334" t="s">
        <v>402</v>
      </c>
      <c r="E442" s="217"/>
      <c r="F442" s="344">
        <f>F443+F445</f>
        <v>0</v>
      </c>
      <c r="G442" s="344">
        <f>G443+G445</f>
        <v>0</v>
      </c>
      <c r="H442" s="114" t="e">
        <f t="shared" si="28"/>
        <v>#DIV/0!</v>
      </c>
      <c r="I442" s="132"/>
      <c r="J442" s="132"/>
      <c r="K442" s="132"/>
    </row>
    <row r="443" spans="1:11" s="75" customFormat="1" ht="31.5" hidden="1" customHeight="1" x14ac:dyDescent="0.25">
      <c r="A443" s="20" t="s">
        <v>88</v>
      </c>
      <c r="B443" s="217" t="s">
        <v>129</v>
      </c>
      <c r="C443" s="217" t="s">
        <v>119</v>
      </c>
      <c r="D443" s="334" t="s">
        <v>402</v>
      </c>
      <c r="E443" s="217" t="s">
        <v>89</v>
      </c>
      <c r="F443" s="337">
        <f>F444</f>
        <v>0</v>
      </c>
      <c r="G443" s="337">
        <f>G444</f>
        <v>0</v>
      </c>
      <c r="H443" s="114" t="e">
        <f t="shared" si="28"/>
        <v>#DIV/0!</v>
      </c>
      <c r="I443" s="132"/>
      <c r="J443" s="132"/>
      <c r="K443" s="132"/>
    </row>
    <row r="444" spans="1:11" s="75" customFormat="1" ht="31.5" hidden="1" customHeight="1" x14ac:dyDescent="0.25">
      <c r="A444" s="20" t="s">
        <v>90</v>
      </c>
      <c r="B444" s="217" t="s">
        <v>129</v>
      </c>
      <c r="C444" s="217" t="s">
        <v>119</v>
      </c>
      <c r="D444" s="334" t="s">
        <v>402</v>
      </c>
      <c r="E444" s="217" t="s">
        <v>91</v>
      </c>
      <c r="F444" s="337">
        <f>'Пр.4 Ведом23'!G1209</f>
        <v>0</v>
      </c>
      <c r="G444" s="337">
        <f>'Пр.4 Ведом23'!H1209</f>
        <v>0</v>
      </c>
      <c r="H444" s="114" t="e">
        <f t="shared" si="28"/>
        <v>#DIV/0!</v>
      </c>
      <c r="I444" s="132"/>
      <c r="J444" s="132"/>
      <c r="K444" s="132"/>
    </row>
    <row r="445" spans="1:11" s="75" customFormat="1" ht="15.75" hidden="1" customHeight="1" x14ac:dyDescent="0.25">
      <c r="A445" s="335" t="s">
        <v>92</v>
      </c>
      <c r="B445" s="217" t="s">
        <v>129</v>
      </c>
      <c r="C445" s="217" t="s">
        <v>119</v>
      </c>
      <c r="D445" s="334" t="s">
        <v>402</v>
      </c>
      <c r="E445" s="217" t="s">
        <v>98</v>
      </c>
      <c r="F445" s="337">
        <f>F446</f>
        <v>0</v>
      </c>
      <c r="G445" s="337">
        <f>G446</f>
        <v>0</v>
      </c>
      <c r="H445" s="114" t="e">
        <f t="shared" si="28"/>
        <v>#DIV/0!</v>
      </c>
      <c r="I445" s="132"/>
      <c r="J445" s="132"/>
      <c r="K445" s="132"/>
    </row>
    <row r="446" spans="1:11" s="75" customFormat="1" ht="15.75" hidden="1" customHeight="1" x14ac:dyDescent="0.25">
      <c r="A446" s="335" t="s">
        <v>820</v>
      </c>
      <c r="B446" s="217" t="s">
        <v>129</v>
      </c>
      <c r="C446" s="217" t="s">
        <v>119</v>
      </c>
      <c r="D446" s="334" t="s">
        <v>402</v>
      </c>
      <c r="E446" s="217" t="s">
        <v>100</v>
      </c>
      <c r="F446" s="337">
        <f>'Пр.4 Ведом23'!G1211</f>
        <v>0</v>
      </c>
      <c r="G446" s="337">
        <f>'Пр.4 Ведом23'!H1211</f>
        <v>0</v>
      </c>
      <c r="H446" s="114" t="e">
        <f t="shared" si="28"/>
        <v>#DIV/0!</v>
      </c>
      <c r="I446" s="132"/>
      <c r="J446" s="132"/>
      <c r="K446" s="132"/>
    </row>
    <row r="447" spans="1:11" ht="31.5" hidden="1" customHeight="1" x14ac:dyDescent="0.25">
      <c r="A447" s="30" t="s">
        <v>400</v>
      </c>
      <c r="B447" s="6" t="s">
        <v>129</v>
      </c>
      <c r="C447" s="6" t="s">
        <v>119</v>
      </c>
      <c r="D447" s="117" t="s">
        <v>401</v>
      </c>
      <c r="E447" s="6"/>
      <c r="F447" s="302">
        <f t="shared" ref="F447:G449" si="31">F448</f>
        <v>0</v>
      </c>
      <c r="G447" s="567">
        <f t="shared" si="31"/>
        <v>0</v>
      </c>
      <c r="H447" s="114" t="e">
        <f t="shared" si="28"/>
        <v>#DIV/0!</v>
      </c>
    </row>
    <row r="448" spans="1:11" ht="15.75" hidden="1" customHeight="1" x14ac:dyDescent="0.25">
      <c r="A448" s="26" t="s">
        <v>210</v>
      </c>
      <c r="B448" s="217" t="s">
        <v>129</v>
      </c>
      <c r="C448" s="217" t="s">
        <v>119</v>
      </c>
      <c r="D448" s="334" t="s">
        <v>403</v>
      </c>
      <c r="E448" s="217"/>
      <c r="F448" s="344">
        <f t="shared" si="31"/>
        <v>0</v>
      </c>
      <c r="G448" s="344">
        <f t="shared" si="31"/>
        <v>0</v>
      </c>
      <c r="H448" s="114" t="e">
        <f t="shared" si="28"/>
        <v>#DIV/0!</v>
      </c>
    </row>
    <row r="449" spans="1:12" ht="31.5" hidden="1" customHeight="1" x14ac:dyDescent="0.25">
      <c r="A449" s="20" t="s">
        <v>88</v>
      </c>
      <c r="B449" s="217" t="s">
        <v>129</v>
      </c>
      <c r="C449" s="217" t="s">
        <v>119</v>
      </c>
      <c r="D449" s="334" t="s">
        <v>403</v>
      </c>
      <c r="E449" s="217" t="s">
        <v>89</v>
      </c>
      <c r="F449" s="344">
        <f t="shared" si="31"/>
        <v>0</v>
      </c>
      <c r="G449" s="344">
        <f t="shared" si="31"/>
        <v>0</v>
      </c>
      <c r="H449" s="114" t="e">
        <f t="shared" si="28"/>
        <v>#DIV/0!</v>
      </c>
    </row>
    <row r="450" spans="1:12" ht="31.5" hidden="1" customHeight="1" x14ac:dyDescent="0.25">
      <c r="A450" s="20" t="s">
        <v>90</v>
      </c>
      <c r="B450" s="217" t="s">
        <v>129</v>
      </c>
      <c r="C450" s="217" t="s">
        <v>119</v>
      </c>
      <c r="D450" s="334" t="s">
        <v>403</v>
      </c>
      <c r="E450" s="217" t="s">
        <v>91</v>
      </c>
      <c r="F450" s="344">
        <f>'Пр.4 Ведом23'!G1215</f>
        <v>0</v>
      </c>
      <c r="G450" s="344">
        <f>'Пр.4 Ведом23'!H1215</f>
        <v>0</v>
      </c>
      <c r="H450" s="114" t="e">
        <f t="shared" si="28"/>
        <v>#DIV/0!</v>
      </c>
    </row>
    <row r="451" spans="1:12" ht="31.5" hidden="1" customHeight="1" x14ac:dyDescent="0.25">
      <c r="A451" s="30" t="s">
        <v>404</v>
      </c>
      <c r="B451" s="6" t="s">
        <v>129</v>
      </c>
      <c r="C451" s="6" t="s">
        <v>119</v>
      </c>
      <c r="D451" s="117" t="s">
        <v>405</v>
      </c>
      <c r="E451" s="6"/>
      <c r="F451" s="302">
        <f t="shared" ref="F451:G453" si="32">F452</f>
        <v>0</v>
      </c>
      <c r="G451" s="567">
        <f t="shared" si="32"/>
        <v>0</v>
      </c>
      <c r="H451" s="114" t="e">
        <f t="shared" si="28"/>
        <v>#DIV/0!</v>
      </c>
    </row>
    <row r="452" spans="1:12" ht="15.75" hidden="1" customHeight="1" x14ac:dyDescent="0.25">
      <c r="A452" s="26" t="s">
        <v>211</v>
      </c>
      <c r="B452" s="217" t="s">
        <v>129</v>
      </c>
      <c r="C452" s="217" t="s">
        <v>119</v>
      </c>
      <c r="D452" s="334" t="s">
        <v>406</v>
      </c>
      <c r="E452" s="217"/>
      <c r="F452" s="342">
        <f t="shared" si="32"/>
        <v>0</v>
      </c>
      <c r="G452" s="565">
        <f t="shared" si="32"/>
        <v>0</v>
      </c>
      <c r="H452" s="114" t="e">
        <f t="shared" si="28"/>
        <v>#DIV/0!</v>
      </c>
      <c r="K452" s="84"/>
      <c r="L452" s="86"/>
    </row>
    <row r="453" spans="1:12" ht="31.5" hidden="1" customHeight="1" x14ac:dyDescent="0.25">
      <c r="A453" s="20" t="s">
        <v>88</v>
      </c>
      <c r="B453" s="217" t="s">
        <v>129</v>
      </c>
      <c r="C453" s="217" t="s">
        <v>119</v>
      </c>
      <c r="D453" s="334" t="s">
        <v>406</v>
      </c>
      <c r="E453" s="217" t="s">
        <v>89</v>
      </c>
      <c r="F453" s="342">
        <f t="shared" si="32"/>
        <v>0</v>
      </c>
      <c r="G453" s="565">
        <f t="shared" si="32"/>
        <v>0</v>
      </c>
      <c r="H453" s="114" t="e">
        <f t="shared" si="28"/>
        <v>#DIV/0!</v>
      </c>
      <c r="I453" s="58"/>
      <c r="L453" s="15"/>
    </row>
    <row r="454" spans="1:12" ht="31.5" hidden="1" customHeight="1" x14ac:dyDescent="0.25">
      <c r="A454" s="20" t="s">
        <v>90</v>
      </c>
      <c r="B454" s="217" t="s">
        <v>129</v>
      </c>
      <c r="C454" s="217" t="s">
        <v>119</v>
      </c>
      <c r="D454" s="334" t="s">
        <v>406</v>
      </c>
      <c r="E454" s="217" t="s">
        <v>91</v>
      </c>
      <c r="F454" s="342">
        <f>'Пр.4 Ведом23'!G1219</f>
        <v>0</v>
      </c>
      <c r="G454" s="565">
        <f>'Пр.4 Ведом23'!H1219</f>
        <v>0</v>
      </c>
      <c r="H454" s="114" t="e">
        <f t="shared" si="28"/>
        <v>#DIV/0!</v>
      </c>
    </row>
    <row r="455" spans="1:12" ht="31.5" hidden="1" customHeight="1" x14ac:dyDescent="0.25">
      <c r="A455" s="22" t="s">
        <v>442</v>
      </c>
      <c r="B455" s="6" t="s">
        <v>129</v>
      </c>
      <c r="C455" s="6" t="s">
        <v>119</v>
      </c>
      <c r="D455" s="117" t="s">
        <v>443</v>
      </c>
      <c r="E455" s="6"/>
      <c r="F455" s="343">
        <f t="shared" ref="F455:G457" si="33">F456</f>
        <v>0</v>
      </c>
      <c r="G455" s="566">
        <f t="shared" si="33"/>
        <v>0</v>
      </c>
      <c r="H455" s="114" t="e">
        <f t="shared" si="28"/>
        <v>#DIV/0!</v>
      </c>
    </row>
    <row r="456" spans="1:12" ht="15.75" hidden="1" customHeight="1" x14ac:dyDescent="0.25">
      <c r="A456" s="26" t="s">
        <v>212</v>
      </c>
      <c r="B456" s="217" t="s">
        <v>129</v>
      </c>
      <c r="C456" s="217" t="s">
        <v>119</v>
      </c>
      <c r="D456" s="334" t="s">
        <v>446</v>
      </c>
      <c r="E456" s="217"/>
      <c r="F456" s="342">
        <f t="shared" si="33"/>
        <v>0</v>
      </c>
      <c r="G456" s="565">
        <f t="shared" si="33"/>
        <v>0</v>
      </c>
      <c r="H456" s="114" t="e">
        <f t="shared" si="28"/>
        <v>#DIV/0!</v>
      </c>
    </row>
    <row r="457" spans="1:12" ht="31.5" hidden="1" customHeight="1" x14ac:dyDescent="0.25">
      <c r="A457" s="20" t="s">
        <v>88</v>
      </c>
      <c r="B457" s="217" t="s">
        <v>129</v>
      </c>
      <c r="C457" s="217" t="s">
        <v>119</v>
      </c>
      <c r="D457" s="334" t="s">
        <v>446</v>
      </c>
      <c r="E457" s="217" t="s">
        <v>89</v>
      </c>
      <c r="F457" s="342">
        <f t="shared" si="33"/>
        <v>0</v>
      </c>
      <c r="G457" s="565">
        <f t="shared" si="33"/>
        <v>0</v>
      </c>
      <c r="H457" s="114" t="e">
        <f t="shared" si="28"/>
        <v>#DIV/0!</v>
      </c>
    </row>
    <row r="458" spans="1:12" ht="31.5" hidden="1" customHeight="1" x14ac:dyDescent="0.25">
      <c r="A458" s="20" t="s">
        <v>90</v>
      </c>
      <c r="B458" s="217" t="s">
        <v>129</v>
      </c>
      <c r="C458" s="217" t="s">
        <v>119</v>
      </c>
      <c r="D458" s="334" t="s">
        <v>446</v>
      </c>
      <c r="E458" s="217" t="s">
        <v>91</v>
      </c>
      <c r="F458" s="342">
        <f>'Пр.4 Ведом23'!G1223</f>
        <v>0</v>
      </c>
      <c r="G458" s="565">
        <f>'Пр.4 Ведом23'!H1223</f>
        <v>0</v>
      </c>
      <c r="H458" s="114" t="e">
        <f t="shared" si="28"/>
        <v>#DIV/0!</v>
      </c>
    </row>
    <row r="459" spans="1:12" ht="31.5" hidden="1" customHeight="1" x14ac:dyDescent="0.25">
      <c r="A459" s="81" t="s">
        <v>444</v>
      </c>
      <c r="B459" s="6" t="s">
        <v>129</v>
      </c>
      <c r="C459" s="6" t="s">
        <v>119</v>
      </c>
      <c r="D459" s="117" t="s">
        <v>445</v>
      </c>
      <c r="E459" s="6"/>
      <c r="F459" s="343">
        <f t="shared" ref="F459:G461" si="34">F460</f>
        <v>0</v>
      </c>
      <c r="G459" s="566">
        <f t="shared" si="34"/>
        <v>0</v>
      </c>
      <c r="H459" s="114" t="e">
        <f t="shared" ref="H459:H522" si="35">G459/F459*100</f>
        <v>#DIV/0!</v>
      </c>
    </row>
    <row r="460" spans="1:12" ht="31.5" hidden="1" customHeight="1" x14ac:dyDescent="0.25">
      <c r="A460" s="66" t="s">
        <v>213</v>
      </c>
      <c r="B460" s="217" t="s">
        <v>129</v>
      </c>
      <c r="C460" s="217" t="s">
        <v>119</v>
      </c>
      <c r="D460" s="334" t="s">
        <v>447</v>
      </c>
      <c r="E460" s="217"/>
      <c r="F460" s="342">
        <f t="shared" si="34"/>
        <v>0</v>
      </c>
      <c r="G460" s="565">
        <f t="shared" si="34"/>
        <v>0</v>
      </c>
      <c r="H460" s="114" t="e">
        <f t="shared" si="35"/>
        <v>#DIV/0!</v>
      </c>
    </row>
    <row r="461" spans="1:12" ht="31.5" hidden="1" customHeight="1" x14ac:dyDescent="0.25">
      <c r="A461" s="20" t="s">
        <v>88</v>
      </c>
      <c r="B461" s="217" t="s">
        <v>129</v>
      </c>
      <c r="C461" s="217" t="s">
        <v>119</v>
      </c>
      <c r="D461" s="334" t="s">
        <v>447</v>
      </c>
      <c r="E461" s="217" t="s">
        <v>89</v>
      </c>
      <c r="F461" s="342">
        <f t="shared" si="34"/>
        <v>0</v>
      </c>
      <c r="G461" s="565">
        <f t="shared" si="34"/>
        <v>0</v>
      </c>
      <c r="H461" s="114" t="e">
        <f t="shared" si="35"/>
        <v>#DIV/0!</v>
      </c>
    </row>
    <row r="462" spans="1:12" ht="31.5" hidden="1" customHeight="1" x14ac:dyDescent="0.25">
      <c r="A462" s="20" t="s">
        <v>90</v>
      </c>
      <c r="B462" s="217" t="s">
        <v>129</v>
      </c>
      <c r="C462" s="217" t="s">
        <v>119</v>
      </c>
      <c r="D462" s="334" t="s">
        <v>447</v>
      </c>
      <c r="E462" s="217" t="s">
        <v>91</v>
      </c>
      <c r="F462" s="342">
        <f>'Пр.4 Ведом23'!G1227</f>
        <v>0</v>
      </c>
      <c r="G462" s="565">
        <f>'Пр.4 Ведом23'!H1227</f>
        <v>0</v>
      </c>
      <c r="H462" s="114" t="e">
        <f t="shared" si="35"/>
        <v>#DIV/0!</v>
      </c>
    </row>
    <row r="463" spans="1:12" ht="31.5" customHeight="1" x14ac:dyDescent="0.25">
      <c r="A463" s="81" t="s">
        <v>408</v>
      </c>
      <c r="B463" s="6" t="s">
        <v>129</v>
      </c>
      <c r="C463" s="6" t="s">
        <v>119</v>
      </c>
      <c r="D463" s="117" t="s">
        <v>409</v>
      </c>
      <c r="E463" s="6"/>
      <c r="F463" s="343">
        <f t="shared" ref="F463:G465" si="36">F464</f>
        <v>13.55</v>
      </c>
      <c r="G463" s="566">
        <f t="shared" si="36"/>
        <v>13.55</v>
      </c>
      <c r="H463" s="113">
        <f t="shared" si="35"/>
        <v>100</v>
      </c>
    </row>
    <row r="464" spans="1:12" ht="15.75" customHeight="1" x14ac:dyDescent="0.25">
      <c r="A464" s="66" t="s">
        <v>214</v>
      </c>
      <c r="B464" s="217" t="s">
        <v>129</v>
      </c>
      <c r="C464" s="217" t="s">
        <v>119</v>
      </c>
      <c r="D464" s="334" t="s">
        <v>407</v>
      </c>
      <c r="E464" s="217"/>
      <c r="F464" s="342">
        <f t="shared" si="36"/>
        <v>13.55</v>
      </c>
      <c r="G464" s="565">
        <f t="shared" si="36"/>
        <v>13.55</v>
      </c>
      <c r="H464" s="114">
        <f t="shared" si="35"/>
        <v>100</v>
      </c>
    </row>
    <row r="465" spans="1:11" ht="31.5" customHeight="1" x14ac:dyDescent="0.25">
      <c r="A465" s="335" t="s">
        <v>88</v>
      </c>
      <c r="B465" s="217" t="s">
        <v>129</v>
      </c>
      <c r="C465" s="217" t="s">
        <v>119</v>
      </c>
      <c r="D465" s="334" t="s">
        <v>407</v>
      </c>
      <c r="E465" s="217" t="s">
        <v>89</v>
      </c>
      <c r="F465" s="342">
        <f t="shared" si="36"/>
        <v>13.55</v>
      </c>
      <c r="G465" s="565">
        <f t="shared" si="36"/>
        <v>13.55</v>
      </c>
      <c r="H465" s="114">
        <f t="shared" si="35"/>
        <v>100</v>
      </c>
    </row>
    <row r="466" spans="1:11" ht="31.5" customHeight="1" x14ac:dyDescent="0.25">
      <c r="A466" s="335" t="s">
        <v>90</v>
      </c>
      <c r="B466" s="217" t="s">
        <v>129</v>
      </c>
      <c r="C466" s="217" t="s">
        <v>119</v>
      </c>
      <c r="D466" s="334" t="s">
        <v>407</v>
      </c>
      <c r="E466" s="217" t="s">
        <v>91</v>
      </c>
      <c r="F466" s="342">
        <f>'Пр.4 Ведом23'!G1231</f>
        <v>13.55</v>
      </c>
      <c r="G466" s="565">
        <f>'Пр.4 Ведом23'!H1231</f>
        <v>13.55</v>
      </c>
      <c r="H466" s="114">
        <f t="shared" si="35"/>
        <v>100</v>
      </c>
    </row>
    <row r="467" spans="1:11" s="110" customFormat="1" ht="31.5" x14ac:dyDescent="0.25">
      <c r="A467" s="116" t="s">
        <v>814</v>
      </c>
      <c r="B467" s="6" t="s">
        <v>129</v>
      </c>
      <c r="C467" s="6" t="s">
        <v>119</v>
      </c>
      <c r="D467" s="117" t="s">
        <v>816</v>
      </c>
      <c r="E467" s="6"/>
      <c r="F467" s="343">
        <f t="shared" ref="F467:G469" si="37">F468</f>
        <v>24242.74785</v>
      </c>
      <c r="G467" s="566">
        <f t="shared" si="37"/>
        <v>24242.74785</v>
      </c>
      <c r="H467" s="113">
        <f t="shared" si="35"/>
        <v>100</v>
      </c>
      <c r="I467" s="132"/>
      <c r="J467" s="132"/>
      <c r="K467" s="132"/>
    </row>
    <row r="468" spans="1:11" s="110" customFormat="1" ht="31.5" x14ac:dyDescent="0.25">
      <c r="A468" s="335" t="s">
        <v>817</v>
      </c>
      <c r="B468" s="217" t="s">
        <v>129</v>
      </c>
      <c r="C468" s="217" t="s">
        <v>119</v>
      </c>
      <c r="D468" s="334" t="s">
        <v>1055</v>
      </c>
      <c r="E468" s="217"/>
      <c r="F468" s="342">
        <f t="shared" si="37"/>
        <v>24242.74785</v>
      </c>
      <c r="G468" s="565">
        <f t="shared" si="37"/>
        <v>24242.74785</v>
      </c>
      <c r="H468" s="114">
        <f t="shared" si="35"/>
        <v>100</v>
      </c>
      <c r="I468" s="132"/>
      <c r="J468" s="132"/>
      <c r="K468" s="132"/>
    </row>
    <row r="469" spans="1:11" s="110" customFormat="1" ht="31.5" x14ac:dyDescent="0.25">
      <c r="A469" s="335" t="s">
        <v>88</v>
      </c>
      <c r="B469" s="217" t="s">
        <v>129</v>
      </c>
      <c r="C469" s="217" t="s">
        <v>119</v>
      </c>
      <c r="D469" s="334" t="s">
        <v>1055</v>
      </c>
      <c r="E469" s="217" t="s">
        <v>89</v>
      </c>
      <c r="F469" s="342">
        <f t="shared" si="37"/>
        <v>24242.74785</v>
      </c>
      <c r="G469" s="565">
        <f t="shared" si="37"/>
        <v>24242.74785</v>
      </c>
      <c r="H469" s="114">
        <f t="shared" si="35"/>
        <v>100</v>
      </c>
      <c r="I469" s="132"/>
      <c r="J469" s="132"/>
      <c r="K469" s="132"/>
    </row>
    <row r="470" spans="1:11" ht="31.5" customHeight="1" x14ac:dyDescent="0.25">
      <c r="A470" s="335" t="s">
        <v>90</v>
      </c>
      <c r="B470" s="217" t="s">
        <v>129</v>
      </c>
      <c r="C470" s="217" t="s">
        <v>119</v>
      </c>
      <c r="D470" s="334" t="s">
        <v>1055</v>
      </c>
      <c r="E470" s="217" t="s">
        <v>91</v>
      </c>
      <c r="F470" s="342">
        <f>'Пр.4 Ведом23'!G1235</f>
        <v>24242.74785</v>
      </c>
      <c r="G470" s="565">
        <f>'Пр.4 Ведом23'!H1235</f>
        <v>24242.74785</v>
      </c>
      <c r="H470" s="114">
        <f t="shared" si="35"/>
        <v>100</v>
      </c>
    </row>
    <row r="471" spans="1:11" ht="47.25" hidden="1" customHeight="1" x14ac:dyDescent="0.25">
      <c r="A471" s="116" t="s">
        <v>902</v>
      </c>
      <c r="B471" s="6" t="s">
        <v>129</v>
      </c>
      <c r="C471" s="6" t="s">
        <v>119</v>
      </c>
      <c r="D471" s="117" t="s">
        <v>539</v>
      </c>
      <c r="E471" s="6"/>
      <c r="F471" s="343">
        <f t="shared" ref="F471:G474" si="38">F472</f>
        <v>0</v>
      </c>
      <c r="G471" s="566">
        <f t="shared" si="38"/>
        <v>0</v>
      </c>
      <c r="H471" s="114" t="e">
        <f t="shared" si="35"/>
        <v>#DIV/0!</v>
      </c>
    </row>
    <row r="472" spans="1:11" ht="31.5" hidden="1" customHeight="1" x14ac:dyDescent="0.25">
      <c r="A472" s="116" t="s">
        <v>540</v>
      </c>
      <c r="B472" s="6" t="s">
        <v>129</v>
      </c>
      <c r="C472" s="6" t="s">
        <v>119</v>
      </c>
      <c r="D472" s="117" t="s">
        <v>541</v>
      </c>
      <c r="E472" s="6"/>
      <c r="F472" s="343">
        <f t="shared" si="38"/>
        <v>0</v>
      </c>
      <c r="G472" s="566">
        <f t="shared" si="38"/>
        <v>0</v>
      </c>
      <c r="H472" s="114" t="e">
        <f t="shared" si="35"/>
        <v>#DIV/0!</v>
      </c>
    </row>
    <row r="473" spans="1:11" ht="15.75" hidden="1" customHeight="1" x14ac:dyDescent="0.25">
      <c r="A473" s="335" t="s">
        <v>215</v>
      </c>
      <c r="B473" s="217" t="s">
        <v>129</v>
      </c>
      <c r="C473" s="217" t="s">
        <v>119</v>
      </c>
      <c r="D473" s="334" t="s">
        <v>542</v>
      </c>
      <c r="E473" s="217"/>
      <c r="F473" s="342">
        <f t="shared" si="38"/>
        <v>0</v>
      </c>
      <c r="G473" s="565">
        <f t="shared" si="38"/>
        <v>0</v>
      </c>
      <c r="H473" s="114" t="e">
        <f t="shared" si="35"/>
        <v>#DIV/0!</v>
      </c>
    </row>
    <row r="474" spans="1:11" ht="31.5" hidden="1" customHeight="1" x14ac:dyDescent="0.25">
      <c r="A474" s="335" t="s">
        <v>88</v>
      </c>
      <c r="B474" s="217" t="s">
        <v>129</v>
      </c>
      <c r="C474" s="217" t="s">
        <v>119</v>
      </c>
      <c r="D474" s="334" t="s">
        <v>542</v>
      </c>
      <c r="E474" s="217" t="s">
        <v>89</v>
      </c>
      <c r="F474" s="342">
        <f t="shared" si="38"/>
        <v>0</v>
      </c>
      <c r="G474" s="565">
        <f t="shared" si="38"/>
        <v>0</v>
      </c>
      <c r="H474" s="114" t="e">
        <f t="shared" si="35"/>
        <v>#DIV/0!</v>
      </c>
    </row>
    <row r="475" spans="1:11" ht="31.5" hidden="1" customHeight="1" x14ac:dyDescent="0.25">
      <c r="A475" s="335" t="s">
        <v>90</v>
      </c>
      <c r="B475" s="217" t="s">
        <v>129</v>
      </c>
      <c r="C475" s="217" t="s">
        <v>119</v>
      </c>
      <c r="D475" s="334" t="s">
        <v>542</v>
      </c>
      <c r="E475" s="217" t="s">
        <v>91</v>
      </c>
      <c r="F475" s="342">
        <f>'Пр.4 Ведом23'!G1240</f>
        <v>0</v>
      </c>
      <c r="G475" s="565">
        <f>'Пр.4 Ведом23'!H1240</f>
        <v>0</v>
      </c>
      <c r="H475" s="114" t="e">
        <f t="shared" si="35"/>
        <v>#DIV/0!</v>
      </c>
    </row>
    <row r="476" spans="1:11" ht="15.75" x14ac:dyDescent="0.25">
      <c r="A476" s="116" t="s">
        <v>216</v>
      </c>
      <c r="B476" s="117" t="s">
        <v>129</v>
      </c>
      <c r="C476" s="117" t="s">
        <v>120</v>
      </c>
      <c r="D476" s="117"/>
      <c r="E476" s="117"/>
      <c r="F476" s="343">
        <f>F477+F485+F529</f>
        <v>43786.406640000001</v>
      </c>
      <c r="G476" s="566">
        <f>G477+G485+G529</f>
        <v>43745.48893</v>
      </c>
      <c r="H476" s="113">
        <f t="shared" si="35"/>
        <v>99.906551568991688</v>
      </c>
    </row>
    <row r="477" spans="1:11" ht="15.75" x14ac:dyDescent="0.25">
      <c r="A477" s="116" t="s">
        <v>97</v>
      </c>
      <c r="B477" s="117" t="s">
        <v>129</v>
      </c>
      <c r="C477" s="117" t="s">
        <v>120</v>
      </c>
      <c r="D477" s="117" t="s">
        <v>329</v>
      </c>
      <c r="E477" s="117"/>
      <c r="F477" s="343">
        <f>F478</f>
        <v>48.149240000000006</v>
      </c>
      <c r="G477" s="566">
        <f>G478</f>
        <v>48.149239999999999</v>
      </c>
      <c r="H477" s="113">
        <f t="shared" si="35"/>
        <v>99.999999999999986</v>
      </c>
    </row>
    <row r="478" spans="1:11" s="75" customFormat="1" ht="31.5" x14ac:dyDescent="0.25">
      <c r="A478" s="116" t="s">
        <v>330</v>
      </c>
      <c r="B478" s="117" t="s">
        <v>129</v>
      </c>
      <c r="C478" s="117" t="s">
        <v>120</v>
      </c>
      <c r="D478" s="117" t="s">
        <v>328</v>
      </c>
      <c r="E478" s="117"/>
      <c r="F478" s="343">
        <f>F479+F482</f>
        <v>48.149240000000006</v>
      </c>
      <c r="G478" s="566">
        <f>G479+G482</f>
        <v>48.149239999999999</v>
      </c>
      <c r="H478" s="113">
        <f t="shared" si="35"/>
        <v>99.999999999999986</v>
      </c>
      <c r="I478" s="132"/>
      <c r="J478" s="132"/>
      <c r="K478" s="132"/>
    </row>
    <row r="479" spans="1:11" ht="15.75" hidden="1" customHeight="1" x14ac:dyDescent="0.25">
      <c r="A479" s="335" t="s">
        <v>222</v>
      </c>
      <c r="B479" s="334" t="s">
        <v>129</v>
      </c>
      <c r="C479" s="334" t="s">
        <v>120</v>
      </c>
      <c r="D479" s="334" t="s">
        <v>490</v>
      </c>
      <c r="E479" s="334"/>
      <c r="F479" s="342">
        <f>F480</f>
        <v>0</v>
      </c>
      <c r="G479" s="565">
        <f>G480</f>
        <v>0</v>
      </c>
      <c r="H479" s="113" t="e">
        <f t="shared" si="35"/>
        <v>#DIV/0!</v>
      </c>
    </row>
    <row r="480" spans="1:11" ht="31.5" hidden="1" customHeight="1" x14ac:dyDescent="0.25">
      <c r="A480" s="335" t="s">
        <v>88</v>
      </c>
      <c r="B480" s="334" t="s">
        <v>129</v>
      </c>
      <c r="C480" s="334" t="s">
        <v>120</v>
      </c>
      <c r="D480" s="334" t="s">
        <v>490</v>
      </c>
      <c r="E480" s="334" t="s">
        <v>89</v>
      </c>
      <c r="F480" s="342">
        <f>F481</f>
        <v>0</v>
      </c>
      <c r="G480" s="565">
        <f>G481</f>
        <v>0</v>
      </c>
      <c r="H480" s="113" t="e">
        <f t="shared" si="35"/>
        <v>#DIV/0!</v>
      </c>
    </row>
    <row r="481" spans="1:11" ht="31.5" hidden="1" customHeight="1" x14ac:dyDescent="0.25">
      <c r="A481" s="335" t="s">
        <v>90</v>
      </c>
      <c r="B481" s="334" t="s">
        <v>129</v>
      </c>
      <c r="C481" s="334" t="s">
        <v>120</v>
      </c>
      <c r="D481" s="334" t="s">
        <v>490</v>
      </c>
      <c r="E481" s="334" t="s">
        <v>91</v>
      </c>
      <c r="F481" s="342">
        <f>'Пр.4 Ведом23'!G1246</f>
        <v>0</v>
      </c>
      <c r="G481" s="565">
        <f>'Пр.4 Ведом23'!H1246</f>
        <v>0</v>
      </c>
      <c r="H481" s="113" t="e">
        <f t="shared" si="35"/>
        <v>#DIV/0!</v>
      </c>
    </row>
    <row r="482" spans="1:11" s="131" customFormat="1" ht="52.5" customHeight="1" x14ac:dyDescent="0.25">
      <c r="A482" s="116" t="s">
        <v>851</v>
      </c>
      <c r="B482" s="117" t="s">
        <v>129</v>
      </c>
      <c r="C482" s="117" t="s">
        <v>120</v>
      </c>
      <c r="D482" s="117" t="s">
        <v>838</v>
      </c>
      <c r="E482" s="117"/>
      <c r="F482" s="343">
        <f>F483</f>
        <v>48.149240000000006</v>
      </c>
      <c r="G482" s="566">
        <f>G483</f>
        <v>48.149239999999999</v>
      </c>
      <c r="H482" s="113">
        <f t="shared" si="35"/>
        <v>99.999999999999986</v>
      </c>
      <c r="I482" s="214"/>
      <c r="J482" s="214"/>
      <c r="K482" s="214"/>
    </row>
    <row r="483" spans="1:11" s="131" customFormat="1" ht="46.5" customHeight="1" x14ac:dyDescent="0.25">
      <c r="A483" s="335" t="s">
        <v>90</v>
      </c>
      <c r="B483" s="334" t="s">
        <v>129</v>
      </c>
      <c r="C483" s="334" t="s">
        <v>120</v>
      </c>
      <c r="D483" s="334" t="s">
        <v>838</v>
      </c>
      <c r="E483" s="334" t="s">
        <v>89</v>
      </c>
      <c r="F483" s="342">
        <f>F484</f>
        <v>48.149240000000006</v>
      </c>
      <c r="G483" s="565">
        <f>G484</f>
        <v>48.149239999999999</v>
      </c>
      <c r="H483" s="114">
        <f t="shared" si="35"/>
        <v>99.999999999999986</v>
      </c>
      <c r="I483" s="214"/>
      <c r="J483" s="214"/>
      <c r="K483" s="214"/>
    </row>
    <row r="484" spans="1:11" s="131" customFormat="1" ht="15.75" x14ac:dyDescent="0.25">
      <c r="A484" s="335" t="s">
        <v>1061</v>
      </c>
      <c r="B484" s="334" t="s">
        <v>129</v>
      </c>
      <c r="C484" s="334" t="s">
        <v>120</v>
      </c>
      <c r="D484" s="334" t="s">
        <v>838</v>
      </c>
      <c r="E484" s="334" t="s">
        <v>91</v>
      </c>
      <c r="F484" s="342">
        <f>'Пр.4 Ведом23'!G1249</f>
        <v>48.149240000000006</v>
      </c>
      <c r="G484" s="565">
        <f>'Пр.4 Ведом23'!H1249</f>
        <v>48.149239999999999</v>
      </c>
      <c r="H484" s="114">
        <f t="shared" si="35"/>
        <v>99.999999999999986</v>
      </c>
      <c r="I484" s="214"/>
      <c r="J484" s="214"/>
      <c r="K484" s="214"/>
    </row>
    <row r="485" spans="1:11" ht="47.25" x14ac:dyDescent="0.25">
      <c r="A485" s="116" t="s">
        <v>892</v>
      </c>
      <c r="B485" s="117" t="s">
        <v>129</v>
      </c>
      <c r="C485" s="117" t="s">
        <v>120</v>
      </c>
      <c r="D485" s="117" t="s">
        <v>217</v>
      </c>
      <c r="E485" s="117"/>
      <c r="F485" s="343">
        <f>F486+F513+F517+F521+F525</f>
        <v>14691.381159999999</v>
      </c>
      <c r="G485" s="566">
        <f>G486+G513+G517+G521+G525</f>
        <v>14691.36169</v>
      </c>
      <c r="H485" s="113">
        <f t="shared" si="35"/>
        <v>99.999867473317948</v>
      </c>
    </row>
    <row r="486" spans="1:11" ht="31.5" x14ac:dyDescent="0.25">
      <c r="A486" s="116" t="s">
        <v>662</v>
      </c>
      <c r="B486" s="117" t="s">
        <v>129</v>
      </c>
      <c r="C486" s="117" t="s">
        <v>120</v>
      </c>
      <c r="D486" s="117" t="s">
        <v>608</v>
      </c>
      <c r="E486" s="117"/>
      <c r="F486" s="343">
        <f>F487+F490+F496+F499+F502+F507+F510</f>
        <v>2551.0283899999999</v>
      </c>
      <c r="G486" s="566">
        <f>G487+G490+G496+G499+G502+G507+G510</f>
        <v>2551.0251899999998</v>
      </c>
      <c r="H486" s="113">
        <f t="shared" si="35"/>
        <v>99.99987456039247</v>
      </c>
    </row>
    <row r="487" spans="1:11" ht="15.75" x14ac:dyDescent="0.25">
      <c r="A487" s="335" t="s">
        <v>218</v>
      </c>
      <c r="B487" s="334" t="s">
        <v>129</v>
      </c>
      <c r="C487" s="334" t="s">
        <v>120</v>
      </c>
      <c r="D487" s="334" t="s">
        <v>656</v>
      </c>
      <c r="E487" s="334"/>
      <c r="F487" s="342">
        <f>F488</f>
        <v>664.75524999999993</v>
      </c>
      <c r="G487" s="565">
        <f>G488</f>
        <v>664.75525000000005</v>
      </c>
      <c r="H487" s="114">
        <f t="shared" si="35"/>
        <v>100.00000000000003</v>
      </c>
    </row>
    <row r="488" spans="1:11" ht="31.5" x14ac:dyDescent="0.25">
      <c r="A488" s="335" t="s">
        <v>88</v>
      </c>
      <c r="B488" s="334" t="s">
        <v>129</v>
      </c>
      <c r="C488" s="334" t="s">
        <v>120</v>
      </c>
      <c r="D488" s="334" t="s">
        <v>656</v>
      </c>
      <c r="E488" s="334" t="s">
        <v>89</v>
      </c>
      <c r="F488" s="342">
        <f>F489</f>
        <v>664.75524999999993</v>
      </c>
      <c r="G488" s="565">
        <f>G489</f>
        <v>664.75525000000005</v>
      </c>
      <c r="H488" s="114">
        <f t="shared" si="35"/>
        <v>100.00000000000003</v>
      </c>
    </row>
    <row r="489" spans="1:11" ht="31.5" customHeight="1" x14ac:dyDescent="0.25">
      <c r="A489" s="335" t="s">
        <v>90</v>
      </c>
      <c r="B489" s="334" t="s">
        <v>129</v>
      </c>
      <c r="C489" s="334" t="s">
        <v>120</v>
      </c>
      <c r="D489" s="334" t="s">
        <v>656</v>
      </c>
      <c r="E489" s="334" t="s">
        <v>91</v>
      </c>
      <c r="F489" s="342">
        <f>'Пр.4 Ведом23'!G1254</f>
        <v>664.75524999999993</v>
      </c>
      <c r="G489" s="565">
        <f>'Пр.4 Ведом23'!H1254</f>
        <v>664.75525000000005</v>
      </c>
      <c r="H489" s="114">
        <f t="shared" si="35"/>
        <v>100.00000000000003</v>
      </c>
    </row>
    <row r="490" spans="1:11" ht="15.75" x14ac:dyDescent="0.25">
      <c r="A490" s="335" t="s">
        <v>496</v>
      </c>
      <c r="B490" s="334" t="s">
        <v>129</v>
      </c>
      <c r="C490" s="334" t="s">
        <v>120</v>
      </c>
      <c r="D490" s="334" t="s">
        <v>654</v>
      </c>
      <c r="E490" s="334"/>
      <c r="F490" s="342">
        <f>F491+F493</f>
        <v>1848.77314</v>
      </c>
      <c r="G490" s="565">
        <f>G491+G493</f>
        <v>1848.7699399999999</v>
      </c>
      <c r="H490" s="114">
        <f t="shared" si="35"/>
        <v>99.999826912240835</v>
      </c>
    </row>
    <row r="491" spans="1:11" ht="31.5" x14ac:dyDescent="0.25">
      <c r="A491" s="335" t="s">
        <v>88</v>
      </c>
      <c r="B491" s="334" t="s">
        <v>129</v>
      </c>
      <c r="C491" s="334" t="s">
        <v>120</v>
      </c>
      <c r="D491" s="334" t="s">
        <v>654</v>
      </c>
      <c r="E491" s="334" t="s">
        <v>89</v>
      </c>
      <c r="F491" s="342">
        <f>F492</f>
        <v>1848.77314</v>
      </c>
      <c r="G491" s="565">
        <f>G492</f>
        <v>1848.7699399999999</v>
      </c>
      <c r="H491" s="114">
        <f t="shared" si="35"/>
        <v>99.999826912240835</v>
      </c>
    </row>
    <row r="492" spans="1:11" ht="31.5" customHeight="1" x14ac:dyDescent="0.25">
      <c r="A492" s="335" t="s">
        <v>90</v>
      </c>
      <c r="B492" s="334" t="s">
        <v>129</v>
      </c>
      <c r="C492" s="334" t="s">
        <v>120</v>
      </c>
      <c r="D492" s="334" t="s">
        <v>654</v>
      </c>
      <c r="E492" s="334" t="s">
        <v>91</v>
      </c>
      <c r="F492" s="342">
        <f>'Пр.4 Ведом23'!G1257</f>
        <v>1848.77314</v>
      </c>
      <c r="G492" s="565">
        <f>'Пр.4 Ведом23'!H1257</f>
        <v>1848.7699399999999</v>
      </c>
      <c r="H492" s="114">
        <f t="shared" si="35"/>
        <v>99.999826912240835</v>
      </c>
    </row>
    <row r="493" spans="1:11" ht="15.75" hidden="1" customHeight="1" x14ac:dyDescent="0.25">
      <c r="A493" s="335" t="s">
        <v>92</v>
      </c>
      <c r="B493" s="334" t="s">
        <v>129</v>
      </c>
      <c r="C493" s="334" t="s">
        <v>120</v>
      </c>
      <c r="D493" s="334" t="s">
        <v>654</v>
      </c>
      <c r="E493" s="334" t="s">
        <v>98</v>
      </c>
      <c r="F493" s="342">
        <f>F494+F495</f>
        <v>0</v>
      </c>
      <c r="G493" s="565">
        <f>G494+G495</f>
        <v>0</v>
      </c>
      <c r="H493" s="114" t="e">
        <f t="shared" si="35"/>
        <v>#DIV/0!</v>
      </c>
    </row>
    <row r="494" spans="1:11" ht="47.25" hidden="1" customHeight="1" x14ac:dyDescent="0.25">
      <c r="A494" s="335" t="s">
        <v>301</v>
      </c>
      <c r="B494" s="334" t="s">
        <v>129</v>
      </c>
      <c r="C494" s="334" t="s">
        <v>120</v>
      </c>
      <c r="D494" s="334" t="s">
        <v>654</v>
      </c>
      <c r="E494" s="334" t="s">
        <v>100</v>
      </c>
      <c r="F494" s="342">
        <f>'Пр.4 Ведом23'!G1259</f>
        <v>0</v>
      </c>
      <c r="G494" s="565">
        <f>'Пр.4 Ведом23'!H1259</f>
        <v>0</v>
      </c>
      <c r="H494" s="114" t="e">
        <f t="shared" si="35"/>
        <v>#DIV/0!</v>
      </c>
    </row>
    <row r="495" spans="1:11" ht="15.75" hidden="1" customHeight="1" x14ac:dyDescent="0.25">
      <c r="A495" s="335" t="s">
        <v>258</v>
      </c>
      <c r="B495" s="334" t="s">
        <v>129</v>
      </c>
      <c r="C495" s="334" t="s">
        <v>120</v>
      </c>
      <c r="D495" s="334" t="s">
        <v>654</v>
      </c>
      <c r="E495" s="334" t="s">
        <v>94</v>
      </c>
      <c r="F495" s="342">
        <f>'Пр.4 Ведом23'!G1260</f>
        <v>0</v>
      </c>
      <c r="G495" s="565">
        <f>'Пр.4 Ведом23'!H1260</f>
        <v>0</v>
      </c>
      <c r="H495" s="114" t="e">
        <f t="shared" si="35"/>
        <v>#DIV/0!</v>
      </c>
    </row>
    <row r="496" spans="1:11" ht="15.75" hidden="1" customHeight="1" x14ac:dyDescent="0.25">
      <c r="A496" s="335" t="s">
        <v>219</v>
      </c>
      <c r="B496" s="334" t="s">
        <v>129</v>
      </c>
      <c r="C496" s="334" t="s">
        <v>120</v>
      </c>
      <c r="D496" s="334" t="s">
        <v>620</v>
      </c>
      <c r="E496" s="334"/>
      <c r="F496" s="342">
        <f>F497</f>
        <v>0</v>
      </c>
      <c r="G496" s="565">
        <f>G497</f>
        <v>0</v>
      </c>
      <c r="H496" s="114" t="e">
        <f t="shared" si="35"/>
        <v>#DIV/0!</v>
      </c>
    </row>
    <row r="497" spans="1:11" ht="31.5" hidden="1" customHeight="1" x14ac:dyDescent="0.25">
      <c r="A497" s="335" t="s">
        <v>88</v>
      </c>
      <c r="B497" s="334" t="s">
        <v>129</v>
      </c>
      <c r="C497" s="334" t="s">
        <v>120</v>
      </c>
      <c r="D497" s="334" t="s">
        <v>620</v>
      </c>
      <c r="E497" s="334" t="s">
        <v>89</v>
      </c>
      <c r="F497" s="342">
        <f>F498</f>
        <v>0</v>
      </c>
      <c r="G497" s="565">
        <f>G498</f>
        <v>0</v>
      </c>
      <c r="H497" s="114" t="e">
        <f t="shared" si="35"/>
        <v>#DIV/0!</v>
      </c>
    </row>
    <row r="498" spans="1:11" ht="31.5" hidden="1" customHeight="1" x14ac:dyDescent="0.25">
      <c r="A498" s="335" t="s">
        <v>90</v>
      </c>
      <c r="B498" s="334" t="s">
        <v>129</v>
      </c>
      <c r="C498" s="334" t="s">
        <v>120</v>
      </c>
      <c r="D498" s="334" t="s">
        <v>620</v>
      </c>
      <c r="E498" s="334" t="s">
        <v>91</v>
      </c>
      <c r="F498" s="342">
        <f>'Пр.4 Ведом23'!G1263</f>
        <v>0</v>
      </c>
      <c r="G498" s="565">
        <f>'Пр.4 Ведом23'!H1263</f>
        <v>0</v>
      </c>
      <c r="H498" s="114" t="e">
        <f t="shared" si="35"/>
        <v>#DIV/0!</v>
      </c>
    </row>
    <row r="499" spans="1:11" ht="15.75" hidden="1" customHeight="1" x14ac:dyDescent="0.25">
      <c r="A499" s="335" t="s">
        <v>220</v>
      </c>
      <c r="B499" s="334" t="s">
        <v>129</v>
      </c>
      <c r="C499" s="334" t="s">
        <v>120</v>
      </c>
      <c r="D499" s="334" t="s">
        <v>609</v>
      </c>
      <c r="E499" s="334"/>
      <c r="F499" s="342">
        <f>F500</f>
        <v>0</v>
      </c>
      <c r="G499" s="565">
        <f>G500</f>
        <v>0</v>
      </c>
      <c r="H499" s="114" t="e">
        <f t="shared" si="35"/>
        <v>#DIV/0!</v>
      </c>
    </row>
    <row r="500" spans="1:11" ht="31.5" hidden="1" customHeight="1" x14ac:dyDescent="0.25">
      <c r="A500" s="335" t="s">
        <v>88</v>
      </c>
      <c r="B500" s="334" t="s">
        <v>129</v>
      </c>
      <c r="C500" s="334" t="s">
        <v>120</v>
      </c>
      <c r="D500" s="334" t="s">
        <v>609</v>
      </c>
      <c r="E500" s="334" t="s">
        <v>89</v>
      </c>
      <c r="F500" s="342">
        <f>F501</f>
        <v>0</v>
      </c>
      <c r="G500" s="565">
        <f>G501</f>
        <v>0</v>
      </c>
      <c r="H500" s="114" t="e">
        <f t="shared" si="35"/>
        <v>#DIV/0!</v>
      </c>
    </row>
    <row r="501" spans="1:11" s="264" customFormat="1" ht="31.5" hidden="1" customHeight="1" x14ac:dyDescent="0.25">
      <c r="A501" s="335" t="s">
        <v>90</v>
      </c>
      <c r="B501" s="334" t="s">
        <v>129</v>
      </c>
      <c r="C501" s="334" t="s">
        <v>120</v>
      </c>
      <c r="D501" s="334" t="s">
        <v>609</v>
      </c>
      <c r="E501" s="334" t="s">
        <v>91</v>
      </c>
      <c r="F501" s="342">
        <f>'Пр.4 Ведом23'!G1266</f>
        <v>0</v>
      </c>
      <c r="G501" s="565">
        <f>'Пр.4 Ведом23'!H1266</f>
        <v>0</v>
      </c>
      <c r="H501" s="114" t="e">
        <f t="shared" si="35"/>
        <v>#DIV/0!</v>
      </c>
    </row>
    <row r="502" spans="1:11" ht="31.5" x14ac:dyDescent="0.25">
      <c r="A502" s="279" t="s">
        <v>657</v>
      </c>
      <c r="B502" s="334" t="s">
        <v>129</v>
      </c>
      <c r="C502" s="334" t="s">
        <v>120</v>
      </c>
      <c r="D502" s="334" t="s">
        <v>610</v>
      </c>
      <c r="E502" s="334"/>
      <c r="F502" s="342">
        <f>F503+F505</f>
        <v>37.5</v>
      </c>
      <c r="G502" s="565">
        <f>G503+G505</f>
        <v>37.5</v>
      </c>
      <c r="H502" s="114">
        <f t="shared" si="35"/>
        <v>100</v>
      </c>
    </row>
    <row r="503" spans="1:11" ht="31.5" hidden="1" customHeight="1" x14ac:dyDescent="0.25">
      <c r="A503" s="335" t="s">
        <v>88</v>
      </c>
      <c r="B503" s="334" t="s">
        <v>129</v>
      </c>
      <c r="C503" s="334" t="s">
        <v>120</v>
      </c>
      <c r="D503" s="334" t="s">
        <v>610</v>
      </c>
      <c r="E503" s="334" t="s">
        <v>89</v>
      </c>
      <c r="F503" s="342">
        <f>F504</f>
        <v>0</v>
      </c>
      <c r="G503" s="565">
        <f>G504</f>
        <v>0</v>
      </c>
      <c r="H503" s="114" t="e">
        <f t="shared" si="35"/>
        <v>#DIV/0!</v>
      </c>
    </row>
    <row r="504" spans="1:11" ht="31.5" hidden="1" customHeight="1" x14ac:dyDescent="0.25">
      <c r="A504" s="335" t="s">
        <v>90</v>
      </c>
      <c r="B504" s="334" t="s">
        <v>129</v>
      </c>
      <c r="C504" s="334" t="s">
        <v>120</v>
      </c>
      <c r="D504" s="334" t="s">
        <v>610</v>
      </c>
      <c r="E504" s="334" t="s">
        <v>91</v>
      </c>
      <c r="F504" s="342">
        <f>'Пр.4 Ведом23'!G1269</f>
        <v>0</v>
      </c>
      <c r="G504" s="565">
        <f>'Пр.4 Ведом23'!H1269</f>
        <v>0</v>
      </c>
      <c r="H504" s="114" t="e">
        <f t="shared" si="35"/>
        <v>#DIV/0!</v>
      </c>
    </row>
    <row r="505" spans="1:11" ht="15.75" x14ac:dyDescent="0.25">
      <c r="A505" s="335" t="s">
        <v>92</v>
      </c>
      <c r="B505" s="334" t="s">
        <v>129</v>
      </c>
      <c r="C505" s="334" t="s">
        <v>120</v>
      </c>
      <c r="D505" s="334" t="s">
        <v>610</v>
      </c>
      <c r="E505" s="334" t="s">
        <v>98</v>
      </c>
      <c r="F505" s="342">
        <f>F506</f>
        <v>37.5</v>
      </c>
      <c r="G505" s="565">
        <f>G506</f>
        <v>37.5</v>
      </c>
      <c r="H505" s="114">
        <f t="shared" si="35"/>
        <v>100</v>
      </c>
    </row>
    <row r="506" spans="1:11" ht="15.75" x14ac:dyDescent="0.25">
      <c r="A506" s="335" t="s">
        <v>258</v>
      </c>
      <c r="B506" s="334" t="s">
        <v>129</v>
      </c>
      <c r="C506" s="334" t="s">
        <v>120</v>
      </c>
      <c r="D506" s="334" t="s">
        <v>610</v>
      </c>
      <c r="E506" s="334" t="s">
        <v>94</v>
      </c>
      <c r="F506" s="343">
        <f>'Пр.4 Ведом23'!G1271</f>
        <v>37.5</v>
      </c>
      <c r="G506" s="566">
        <f>'Пр.4 Ведом23'!H1271</f>
        <v>37.5</v>
      </c>
      <c r="H506" s="113">
        <f t="shared" si="35"/>
        <v>100</v>
      </c>
    </row>
    <row r="507" spans="1:11" ht="15.75" hidden="1" customHeight="1" x14ac:dyDescent="0.25">
      <c r="A507" s="26" t="s">
        <v>221</v>
      </c>
      <c r="B507" s="334" t="s">
        <v>129</v>
      </c>
      <c r="C507" s="334" t="s">
        <v>120</v>
      </c>
      <c r="D507" s="334" t="s">
        <v>611</v>
      </c>
      <c r="E507" s="334"/>
      <c r="F507" s="342">
        <f>F508</f>
        <v>0</v>
      </c>
      <c r="G507" s="565">
        <f>G508</f>
        <v>0</v>
      </c>
      <c r="H507" s="114" t="e">
        <f t="shared" si="35"/>
        <v>#DIV/0!</v>
      </c>
    </row>
    <row r="508" spans="1:11" ht="31.5" hidden="1" customHeight="1" x14ac:dyDescent="0.25">
      <c r="A508" s="335" t="s">
        <v>88</v>
      </c>
      <c r="B508" s="334" t="s">
        <v>129</v>
      </c>
      <c r="C508" s="334" t="s">
        <v>120</v>
      </c>
      <c r="D508" s="334" t="s">
        <v>611</v>
      </c>
      <c r="E508" s="334" t="s">
        <v>89</v>
      </c>
      <c r="F508" s="342">
        <f>F509</f>
        <v>0</v>
      </c>
      <c r="G508" s="565">
        <f>G509</f>
        <v>0</v>
      </c>
      <c r="H508" s="114" t="e">
        <f t="shared" si="35"/>
        <v>#DIV/0!</v>
      </c>
    </row>
    <row r="509" spans="1:11" ht="31.5" hidden="1" customHeight="1" x14ac:dyDescent="0.25">
      <c r="A509" s="335" t="s">
        <v>90</v>
      </c>
      <c r="B509" s="334" t="s">
        <v>129</v>
      </c>
      <c r="C509" s="334" t="s">
        <v>120</v>
      </c>
      <c r="D509" s="334" t="s">
        <v>611</v>
      </c>
      <c r="E509" s="334" t="s">
        <v>91</v>
      </c>
      <c r="F509" s="342">
        <f>'Пр.4 Ведом23'!G1274</f>
        <v>0</v>
      </c>
      <c r="G509" s="565">
        <f>'Пр.4 Ведом23'!H1274</f>
        <v>0</v>
      </c>
      <c r="H509" s="114" t="e">
        <f t="shared" si="35"/>
        <v>#DIV/0!</v>
      </c>
    </row>
    <row r="510" spans="1:11" s="131" customFormat="1" ht="31.5" hidden="1" customHeight="1" x14ac:dyDescent="0.25">
      <c r="A510" s="147" t="s">
        <v>498</v>
      </c>
      <c r="B510" s="334" t="s">
        <v>129</v>
      </c>
      <c r="C510" s="334" t="s">
        <v>120</v>
      </c>
      <c r="D510" s="334" t="s">
        <v>612</v>
      </c>
      <c r="E510" s="334"/>
      <c r="F510" s="342">
        <f>F511</f>
        <v>0</v>
      </c>
      <c r="G510" s="565">
        <f>G511</f>
        <v>0</v>
      </c>
      <c r="H510" s="114" t="e">
        <f t="shared" si="35"/>
        <v>#DIV/0!</v>
      </c>
      <c r="I510" s="132"/>
      <c r="J510" s="132"/>
      <c r="K510" s="132"/>
    </row>
    <row r="511" spans="1:11" s="131" customFormat="1" ht="31.5" hidden="1" customHeight="1" x14ac:dyDescent="0.25">
      <c r="A511" s="335" t="s">
        <v>88</v>
      </c>
      <c r="B511" s="334" t="s">
        <v>129</v>
      </c>
      <c r="C511" s="334" t="s">
        <v>120</v>
      </c>
      <c r="D511" s="334" t="s">
        <v>612</v>
      </c>
      <c r="E511" s="334" t="s">
        <v>89</v>
      </c>
      <c r="F511" s="342">
        <f>F512</f>
        <v>0</v>
      </c>
      <c r="G511" s="565">
        <f>G512</f>
        <v>0</v>
      </c>
      <c r="H511" s="114" t="e">
        <f t="shared" si="35"/>
        <v>#DIV/0!</v>
      </c>
      <c r="I511" s="132"/>
      <c r="J511" s="132"/>
      <c r="K511" s="132"/>
    </row>
    <row r="512" spans="1:11" ht="31.5" hidden="1" customHeight="1" x14ac:dyDescent="0.25">
      <c r="A512" s="335" t="s">
        <v>90</v>
      </c>
      <c r="B512" s="334" t="s">
        <v>129</v>
      </c>
      <c r="C512" s="334" t="s">
        <v>120</v>
      </c>
      <c r="D512" s="334" t="s">
        <v>612</v>
      </c>
      <c r="E512" s="334" t="s">
        <v>91</v>
      </c>
      <c r="F512" s="343">
        <f>'Пр.4 Ведом23'!G1277</f>
        <v>0</v>
      </c>
      <c r="G512" s="566">
        <f>'Пр.4 Ведом23'!H1277</f>
        <v>0</v>
      </c>
      <c r="H512" s="114" t="e">
        <f t="shared" si="35"/>
        <v>#DIV/0!</v>
      </c>
    </row>
    <row r="513" spans="1:11" ht="31.5" x14ac:dyDescent="0.25">
      <c r="A513" s="116" t="s">
        <v>342</v>
      </c>
      <c r="B513" s="117" t="s">
        <v>129</v>
      </c>
      <c r="C513" s="117" t="s">
        <v>120</v>
      </c>
      <c r="D513" s="117" t="s">
        <v>619</v>
      </c>
      <c r="E513" s="117"/>
      <c r="F513" s="342">
        <f t="shared" ref="F513:G515" si="39">F514</f>
        <v>1787</v>
      </c>
      <c r="G513" s="565">
        <f t="shared" si="39"/>
        <v>1787</v>
      </c>
      <c r="H513" s="114">
        <f t="shared" si="35"/>
        <v>100</v>
      </c>
    </row>
    <row r="514" spans="1:11" ht="63" x14ac:dyDescent="0.25">
      <c r="A514" s="335" t="s">
        <v>489</v>
      </c>
      <c r="B514" s="334" t="s">
        <v>129</v>
      </c>
      <c r="C514" s="334" t="s">
        <v>120</v>
      </c>
      <c r="D514" s="334" t="s">
        <v>618</v>
      </c>
      <c r="E514" s="334"/>
      <c r="F514" s="342">
        <f t="shared" si="39"/>
        <v>1787</v>
      </c>
      <c r="G514" s="565">
        <f t="shared" si="39"/>
        <v>1787</v>
      </c>
      <c r="H514" s="114">
        <f t="shared" si="35"/>
        <v>100</v>
      </c>
    </row>
    <row r="515" spans="1:11" ht="31.5" x14ac:dyDescent="0.25">
      <c r="A515" s="335" t="s">
        <v>88</v>
      </c>
      <c r="B515" s="334" t="s">
        <v>129</v>
      </c>
      <c r="C515" s="334" t="s">
        <v>120</v>
      </c>
      <c r="D515" s="334" t="s">
        <v>618</v>
      </c>
      <c r="E515" s="334" t="s">
        <v>89</v>
      </c>
      <c r="F515" s="342">
        <f t="shared" si="39"/>
        <v>1787</v>
      </c>
      <c r="G515" s="565">
        <f t="shared" si="39"/>
        <v>1787</v>
      </c>
      <c r="H515" s="114">
        <f t="shared" si="35"/>
        <v>100</v>
      </c>
    </row>
    <row r="516" spans="1:11" ht="31.5" customHeight="1" x14ac:dyDescent="0.25">
      <c r="A516" s="335" t="s">
        <v>90</v>
      </c>
      <c r="B516" s="334" t="s">
        <v>129</v>
      </c>
      <c r="C516" s="334" t="s">
        <v>120</v>
      </c>
      <c r="D516" s="334" t="s">
        <v>618</v>
      </c>
      <c r="E516" s="334" t="s">
        <v>91</v>
      </c>
      <c r="F516" s="342">
        <f>'Пр.4 Ведом23'!G1281</f>
        <v>1787</v>
      </c>
      <c r="G516" s="565">
        <f>'Пр.4 Ведом23'!H1281</f>
        <v>1787</v>
      </c>
      <c r="H516" s="114">
        <f t="shared" si="35"/>
        <v>100</v>
      </c>
    </row>
    <row r="517" spans="1:11" ht="47.25" hidden="1" customHeight="1" x14ac:dyDescent="0.25">
      <c r="A517" s="22" t="s">
        <v>722</v>
      </c>
      <c r="B517" s="117" t="s">
        <v>129</v>
      </c>
      <c r="C517" s="117" t="s">
        <v>120</v>
      </c>
      <c r="D517" s="117" t="s">
        <v>721</v>
      </c>
      <c r="E517" s="117"/>
      <c r="F517" s="343">
        <f t="shared" ref="F517:G519" si="40">F518</f>
        <v>0</v>
      </c>
      <c r="G517" s="566">
        <f t="shared" si="40"/>
        <v>0</v>
      </c>
      <c r="H517" s="114" t="e">
        <f t="shared" si="35"/>
        <v>#DIV/0!</v>
      </c>
    </row>
    <row r="518" spans="1:11" ht="31.5" hidden="1" customHeight="1" x14ac:dyDescent="0.25">
      <c r="A518" s="20" t="s">
        <v>756</v>
      </c>
      <c r="B518" s="334" t="s">
        <v>129</v>
      </c>
      <c r="C518" s="334" t="s">
        <v>120</v>
      </c>
      <c r="D518" s="334" t="s">
        <v>725</v>
      </c>
      <c r="E518" s="334"/>
      <c r="F518" s="342">
        <f t="shared" si="40"/>
        <v>0</v>
      </c>
      <c r="G518" s="565">
        <f t="shared" si="40"/>
        <v>0</v>
      </c>
      <c r="H518" s="114" t="e">
        <f t="shared" si="35"/>
        <v>#DIV/0!</v>
      </c>
    </row>
    <row r="519" spans="1:11" ht="31.5" hidden="1" customHeight="1" x14ac:dyDescent="0.25">
      <c r="A519" s="335" t="s">
        <v>88</v>
      </c>
      <c r="B519" s="334" t="s">
        <v>129</v>
      </c>
      <c r="C519" s="334" t="s">
        <v>120</v>
      </c>
      <c r="D519" s="334" t="s">
        <v>725</v>
      </c>
      <c r="E519" s="334" t="s">
        <v>89</v>
      </c>
      <c r="F519" s="342">
        <f t="shared" si="40"/>
        <v>0</v>
      </c>
      <c r="G519" s="565">
        <f t="shared" si="40"/>
        <v>0</v>
      </c>
      <c r="H519" s="114" t="e">
        <f t="shared" si="35"/>
        <v>#DIV/0!</v>
      </c>
    </row>
    <row r="520" spans="1:11" ht="31.5" hidden="1" customHeight="1" x14ac:dyDescent="0.25">
      <c r="A520" s="335" t="s">
        <v>90</v>
      </c>
      <c r="B520" s="334" t="s">
        <v>129</v>
      </c>
      <c r="C520" s="334" t="s">
        <v>120</v>
      </c>
      <c r="D520" s="334" t="s">
        <v>725</v>
      </c>
      <c r="E520" s="334" t="s">
        <v>91</v>
      </c>
      <c r="F520" s="342">
        <f>'Пр.4 Ведом23'!G1285</f>
        <v>0</v>
      </c>
      <c r="G520" s="565">
        <f>'Пр.4 Ведом23'!H1285</f>
        <v>0</v>
      </c>
      <c r="H520" s="114" t="e">
        <f t="shared" si="35"/>
        <v>#DIV/0!</v>
      </c>
    </row>
    <row r="521" spans="1:11" ht="31.5" x14ac:dyDescent="0.25">
      <c r="A521" s="116" t="s">
        <v>795</v>
      </c>
      <c r="B521" s="117" t="s">
        <v>129</v>
      </c>
      <c r="C521" s="117" t="s">
        <v>120</v>
      </c>
      <c r="D521" s="117" t="s">
        <v>797</v>
      </c>
      <c r="E521" s="117"/>
      <c r="F521" s="343">
        <f t="shared" ref="F521:G523" si="41">F522</f>
        <v>7500</v>
      </c>
      <c r="G521" s="566">
        <f t="shared" si="41"/>
        <v>7500</v>
      </c>
      <c r="H521" s="113">
        <f t="shared" si="35"/>
        <v>100</v>
      </c>
    </row>
    <row r="522" spans="1:11" ht="63" x14ac:dyDescent="0.25">
      <c r="A522" s="335" t="s">
        <v>796</v>
      </c>
      <c r="B522" s="334" t="s">
        <v>129</v>
      </c>
      <c r="C522" s="334" t="s">
        <v>120</v>
      </c>
      <c r="D522" s="334" t="s">
        <v>806</v>
      </c>
      <c r="E522" s="334"/>
      <c r="F522" s="342">
        <f t="shared" si="41"/>
        <v>7500</v>
      </c>
      <c r="G522" s="565">
        <f t="shared" si="41"/>
        <v>7500</v>
      </c>
      <c r="H522" s="114">
        <f t="shared" si="35"/>
        <v>100</v>
      </c>
    </row>
    <row r="523" spans="1:11" ht="31.5" x14ac:dyDescent="0.25">
      <c r="A523" s="335" t="s">
        <v>88</v>
      </c>
      <c r="B523" s="334" t="s">
        <v>129</v>
      </c>
      <c r="C523" s="334" t="s">
        <v>120</v>
      </c>
      <c r="D523" s="334" t="s">
        <v>806</v>
      </c>
      <c r="E523" s="334" t="s">
        <v>89</v>
      </c>
      <c r="F523" s="342">
        <f t="shared" si="41"/>
        <v>7500</v>
      </c>
      <c r="G523" s="565">
        <f t="shared" si="41"/>
        <v>7500</v>
      </c>
      <c r="H523" s="114">
        <f t="shared" ref="H523:H586" si="42">G523/F523*100</f>
        <v>100</v>
      </c>
    </row>
    <row r="524" spans="1:11" ht="31.5" customHeight="1" x14ac:dyDescent="0.25">
      <c r="A524" s="335" t="s">
        <v>90</v>
      </c>
      <c r="B524" s="334" t="s">
        <v>129</v>
      </c>
      <c r="C524" s="334" t="s">
        <v>120</v>
      </c>
      <c r="D524" s="334" t="s">
        <v>806</v>
      </c>
      <c r="E524" s="334" t="s">
        <v>91</v>
      </c>
      <c r="F524" s="342">
        <f>'Пр.4 Ведом23'!G1289</f>
        <v>7500</v>
      </c>
      <c r="G524" s="565">
        <f>'Пр.4 Ведом23'!H1289</f>
        <v>7500</v>
      </c>
      <c r="H524" s="114">
        <f t="shared" si="42"/>
        <v>100</v>
      </c>
    </row>
    <row r="525" spans="1:11" ht="31.5" x14ac:dyDescent="0.25">
      <c r="A525" s="116" t="s">
        <v>810</v>
      </c>
      <c r="B525" s="117" t="s">
        <v>129</v>
      </c>
      <c r="C525" s="117" t="s">
        <v>120</v>
      </c>
      <c r="D525" s="117" t="s">
        <v>807</v>
      </c>
      <c r="E525" s="117"/>
      <c r="F525" s="343">
        <f t="shared" ref="F525:G527" si="43">F526</f>
        <v>2853.35277</v>
      </c>
      <c r="G525" s="566">
        <f t="shared" si="43"/>
        <v>2853.3364999999999</v>
      </c>
      <c r="H525" s="113">
        <f t="shared" si="42"/>
        <v>99.999429793603824</v>
      </c>
    </row>
    <row r="526" spans="1:11" ht="31.5" x14ac:dyDescent="0.25">
      <c r="A526" s="335" t="s">
        <v>808</v>
      </c>
      <c r="B526" s="334" t="s">
        <v>129</v>
      </c>
      <c r="C526" s="334" t="s">
        <v>120</v>
      </c>
      <c r="D526" s="334" t="s">
        <v>809</v>
      </c>
      <c r="E526" s="334"/>
      <c r="F526" s="342">
        <f t="shared" si="43"/>
        <v>2853.35277</v>
      </c>
      <c r="G526" s="565">
        <f t="shared" si="43"/>
        <v>2853.3364999999999</v>
      </c>
      <c r="H526" s="114">
        <f t="shared" si="42"/>
        <v>99.999429793603824</v>
      </c>
    </row>
    <row r="527" spans="1:11" ht="31.5" x14ac:dyDescent="0.25">
      <c r="A527" s="335" t="s">
        <v>88</v>
      </c>
      <c r="B527" s="334" t="s">
        <v>129</v>
      </c>
      <c r="C527" s="334" t="s">
        <v>120</v>
      </c>
      <c r="D527" s="334" t="s">
        <v>809</v>
      </c>
      <c r="E527" s="334" t="s">
        <v>89</v>
      </c>
      <c r="F527" s="342">
        <f t="shared" si="43"/>
        <v>2853.35277</v>
      </c>
      <c r="G527" s="565">
        <f t="shared" si="43"/>
        <v>2853.3364999999999</v>
      </c>
      <c r="H527" s="114">
        <f t="shared" si="42"/>
        <v>99.999429793603824</v>
      </c>
    </row>
    <row r="528" spans="1:11" s="75" customFormat="1" ht="31.5" customHeight="1" x14ac:dyDescent="0.25">
      <c r="A528" s="335" t="s">
        <v>90</v>
      </c>
      <c r="B528" s="334" t="s">
        <v>129</v>
      </c>
      <c r="C528" s="334" t="s">
        <v>120</v>
      </c>
      <c r="D528" s="334" t="s">
        <v>809</v>
      </c>
      <c r="E528" s="334" t="s">
        <v>91</v>
      </c>
      <c r="F528" s="342">
        <f>'Пр.4 Ведом23'!G1293</f>
        <v>2853.35277</v>
      </c>
      <c r="G528" s="565">
        <f>'Пр.4 Ведом23'!H1293</f>
        <v>2853.3364999999999</v>
      </c>
      <c r="H528" s="114">
        <f t="shared" si="42"/>
        <v>99.999429793603824</v>
      </c>
      <c r="I528" s="132"/>
      <c r="J528" s="132"/>
      <c r="K528" s="132"/>
    </row>
    <row r="529" spans="1:11" s="131" customFormat="1" ht="63" x14ac:dyDescent="0.25">
      <c r="A529" s="116" t="s">
        <v>903</v>
      </c>
      <c r="B529" s="117" t="s">
        <v>129</v>
      </c>
      <c r="C529" s="117" t="s">
        <v>120</v>
      </c>
      <c r="D529" s="117" t="s">
        <v>260</v>
      </c>
      <c r="E529" s="117"/>
      <c r="F529" s="343">
        <f>F530+F534</f>
        <v>29046.876240000005</v>
      </c>
      <c r="G529" s="566">
        <f>G530+G534</f>
        <v>29005.977999999999</v>
      </c>
      <c r="H529" s="114">
        <f t="shared" si="42"/>
        <v>99.85919917976004</v>
      </c>
      <c r="I529" s="132"/>
      <c r="J529" s="132"/>
      <c r="K529" s="132"/>
    </row>
    <row r="530" spans="1:11" s="131" customFormat="1" ht="31.5" x14ac:dyDescent="0.25">
      <c r="A530" s="116" t="s">
        <v>485</v>
      </c>
      <c r="B530" s="117" t="s">
        <v>129</v>
      </c>
      <c r="C530" s="117" t="s">
        <v>120</v>
      </c>
      <c r="D530" s="117" t="s">
        <v>497</v>
      </c>
      <c r="E530" s="117"/>
      <c r="F530" s="343">
        <f t="shared" ref="F530:G532" si="44">F531</f>
        <v>27595.694000000007</v>
      </c>
      <c r="G530" s="566">
        <f t="shared" si="44"/>
        <v>27595.694</v>
      </c>
      <c r="H530" s="114">
        <f t="shared" si="42"/>
        <v>99.999999999999972</v>
      </c>
      <c r="I530" s="132"/>
      <c r="J530" s="132"/>
      <c r="K530" s="132"/>
    </row>
    <row r="531" spans="1:11" s="131" customFormat="1" ht="31.5" x14ac:dyDescent="0.25">
      <c r="A531" s="19" t="s">
        <v>1014</v>
      </c>
      <c r="B531" s="334" t="s">
        <v>129</v>
      </c>
      <c r="C531" s="334" t="s">
        <v>120</v>
      </c>
      <c r="D531" s="334" t="s">
        <v>300</v>
      </c>
      <c r="E531" s="334"/>
      <c r="F531" s="342">
        <f t="shared" si="44"/>
        <v>27595.694000000007</v>
      </c>
      <c r="G531" s="565">
        <f t="shared" si="44"/>
        <v>27595.694</v>
      </c>
      <c r="H531" s="114">
        <f t="shared" si="42"/>
        <v>99.999999999999972</v>
      </c>
      <c r="I531" s="132"/>
      <c r="J531" s="132"/>
      <c r="K531" s="132"/>
    </row>
    <row r="532" spans="1:11" s="131" customFormat="1" ht="31.5" x14ac:dyDescent="0.25">
      <c r="A532" s="335" t="s">
        <v>88</v>
      </c>
      <c r="B532" s="334" t="s">
        <v>129</v>
      </c>
      <c r="C532" s="334" t="s">
        <v>120</v>
      </c>
      <c r="D532" s="334" t="s">
        <v>300</v>
      </c>
      <c r="E532" s="334" t="s">
        <v>89</v>
      </c>
      <c r="F532" s="342">
        <f t="shared" si="44"/>
        <v>27595.694000000007</v>
      </c>
      <c r="G532" s="565">
        <f t="shared" si="44"/>
        <v>27595.694</v>
      </c>
      <c r="H532" s="114">
        <f t="shared" si="42"/>
        <v>99.999999999999972</v>
      </c>
      <c r="I532" s="132"/>
      <c r="J532" s="132"/>
      <c r="K532" s="132"/>
    </row>
    <row r="533" spans="1:11" s="75" customFormat="1" ht="31.5" customHeight="1" x14ac:dyDescent="0.25">
      <c r="A533" s="335" t="s">
        <v>90</v>
      </c>
      <c r="B533" s="334" t="s">
        <v>129</v>
      </c>
      <c r="C533" s="334" t="s">
        <v>120</v>
      </c>
      <c r="D533" s="334" t="s">
        <v>300</v>
      </c>
      <c r="E533" s="334" t="s">
        <v>91</v>
      </c>
      <c r="F533" s="342">
        <f>'Пр.4 Ведом23'!G1298</f>
        <v>27595.694000000007</v>
      </c>
      <c r="G533" s="565">
        <f>'Пр.4 Ведом23'!H1298</f>
        <v>27595.694</v>
      </c>
      <c r="H533" s="114">
        <f t="shared" si="42"/>
        <v>99.999999999999972</v>
      </c>
      <c r="I533" s="132"/>
      <c r="J533" s="132"/>
      <c r="K533" s="132"/>
    </row>
    <row r="534" spans="1:11" s="75" customFormat="1" ht="47.25" x14ac:dyDescent="0.25">
      <c r="A534" s="116" t="s">
        <v>1048</v>
      </c>
      <c r="B534" s="117" t="s">
        <v>129</v>
      </c>
      <c r="C534" s="117" t="s">
        <v>120</v>
      </c>
      <c r="D534" s="117" t="s">
        <v>723</v>
      </c>
      <c r="E534" s="117"/>
      <c r="F534" s="343">
        <f>F535+F538</f>
        <v>1451.1822400000001</v>
      </c>
      <c r="G534" s="566">
        <f>G535+G538</f>
        <v>1410.2840000000001</v>
      </c>
      <c r="H534" s="113">
        <f t="shared" si="42"/>
        <v>97.181729566921931</v>
      </c>
      <c r="I534" s="132"/>
      <c r="J534" s="132"/>
      <c r="K534" s="132"/>
    </row>
    <row r="535" spans="1:11" s="75" customFormat="1" ht="94.5" hidden="1" customHeight="1" x14ac:dyDescent="0.25">
      <c r="A535" s="335" t="s">
        <v>730</v>
      </c>
      <c r="B535" s="334" t="s">
        <v>129</v>
      </c>
      <c r="C535" s="334" t="s">
        <v>120</v>
      </c>
      <c r="D535" s="334" t="s">
        <v>724</v>
      </c>
      <c r="E535" s="334"/>
      <c r="F535" s="342">
        <f>F536</f>
        <v>5.7071318157464468E-15</v>
      </c>
      <c r="G535" s="565">
        <f>G536</f>
        <v>5.7071318157464468E-15</v>
      </c>
      <c r="H535" s="114">
        <f t="shared" si="42"/>
        <v>100</v>
      </c>
      <c r="I535" s="132"/>
      <c r="J535" s="132"/>
      <c r="K535" s="132"/>
    </row>
    <row r="536" spans="1:11" s="75" customFormat="1" ht="31.5" hidden="1" customHeight="1" x14ac:dyDescent="0.25">
      <c r="A536" s="335" t="s">
        <v>88</v>
      </c>
      <c r="B536" s="334" t="s">
        <v>129</v>
      </c>
      <c r="C536" s="334" t="s">
        <v>120</v>
      </c>
      <c r="D536" s="334" t="s">
        <v>724</v>
      </c>
      <c r="E536" s="334" t="s">
        <v>89</v>
      </c>
      <c r="F536" s="342">
        <f>F537</f>
        <v>5.7071318157464468E-15</v>
      </c>
      <c r="G536" s="565">
        <f>G537</f>
        <v>5.7071318157464468E-15</v>
      </c>
      <c r="H536" s="114">
        <f t="shared" si="42"/>
        <v>100</v>
      </c>
      <c r="I536" s="132"/>
      <c r="J536" s="132"/>
      <c r="K536" s="132"/>
    </row>
    <row r="537" spans="1:11" s="75" customFormat="1" ht="31.5" hidden="1" customHeight="1" x14ac:dyDescent="0.25">
      <c r="A537" s="335" t="s">
        <v>90</v>
      </c>
      <c r="B537" s="334" t="s">
        <v>129</v>
      </c>
      <c r="C537" s="334" t="s">
        <v>120</v>
      </c>
      <c r="D537" s="334" t="s">
        <v>724</v>
      </c>
      <c r="E537" s="334" t="s">
        <v>91</v>
      </c>
      <c r="F537" s="342">
        <f>'Пр.4 Ведом23'!G1302</f>
        <v>5.7071318157464468E-15</v>
      </c>
      <c r="G537" s="565">
        <f>'Пр.4 Ведом23'!H1302</f>
        <v>5.7071318157464468E-15</v>
      </c>
      <c r="H537" s="114">
        <f t="shared" si="42"/>
        <v>100</v>
      </c>
      <c r="I537" s="132"/>
      <c r="J537" s="132"/>
      <c r="K537" s="132"/>
    </row>
    <row r="538" spans="1:11" ht="15.75" x14ac:dyDescent="0.25">
      <c r="A538" s="335" t="s">
        <v>813</v>
      </c>
      <c r="B538" s="334" t="s">
        <v>129</v>
      </c>
      <c r="C538" s="334" t="s">
        <v>120</v>
      </c>
      <c r="D538" s="334" t="s">
        <v>1056</v>
      </c>
      <c r="E538" s="334"/>
      <c r="F538" s="342">
        <f>F539</f>
        <v>1451.1822400000001</v>
      </c>
      <c r="G538" s="565">
        <f>G539</f>
        <v>1410.2840000000001</v>
      </c>
      <c r="H538" s="114">
        <f t="shared" si="42"/>
        <v>97.181729566921931</v>
      </c>
    </row>
    <row r="539" spans="1:11" s="75" customFormat="1" ht="31.5" x14ac:dyDescent="0.25">
      <c r="A539" s="335" t="s">
        <v>88</v>
      </c>
      <c r="B539" s="334" t="s">
        <v>129</v>
      </c>
      <c r="C539" s="334" t="s">
        <v>120</v>
      </c>
      <c r="D539" s="334" t="s">
        <v>1056</v>
      </c>
      <c r="E539" s="334" t="s">
        <v>89</v>
      </c>
      <c r="F539" s="342">
        <f>F540</f>
        <v>1451.1822400000001</v>
      </c>
      <c r="G539" s="565">
        <f>G540</f>
        <v>1410.2840000000001</v>
      </c>
      <c r="H539" s="114">
        <f t="shared" si="42"/>
        <v>97.181729566921931</v>
      </c>
      <c r="I539" s="132"/>
      <c r="J539" s="132"/>
      <c r="K539" s="132"/>
    </row>
    <row r="540" spans="1:11" s="75" customFormat="1" ht="31.5" customHeight="1" x14ac:dyDescent="0.25">
      <c r="A540" s="335" t="s">
        <v>90</v>
      </c>
      <c r="B540" s="334" t="s">
        <v>129</v>
      </c>
      <c r="C540" s="334" t="s">
        <v>120</v>
      </c>
      <c r="D540" s="334" t="s">
        <v>1056</v>
      </c>
      <c r="E540" s="334" t="s">
        <v>91</v>
      </c>
      <c r="F540" s="342">
        <f>'Пр.4 Ведом23'!G1305</f>
        <v>1451.1822400000001</v>
      </c>
      <c r="G540" s="565">
        <f>'Пр.4 Ведом23'!H1305</f>
        <v>1410.2840000000001</v>
      </c>
      <c r="H540" s="114">
        <f t="shared" si="42"/>
        <v>97.181729566921931</v>
      </c>
      <c r="I540" s="132"/>
      <c r="J540" s="132"/>
      <c r="K540" s="132"/>
    </row>
    <row r="541" spans="1:11" s="75" customFormat="1" ht="31.5" x14ac:dyDescent="0.25">
      <c r="A541" s="116" t="s">
        <v>224</v>
      </c>
      <c r="B541" s="117" t="s">
        <v>129</v>
      </c>
      <c r="C541" s="117" t="s">
        <v>129</v>
      </c>
      <c r="D541" s="117"/>
      <c r="E541" s="117"/>
      <c r="F541" s="343">
        <f>F542+F565+F602</f>
        <v>33464.923730000002</v>
      </c>
      <c r="G541" s="566">
        <f>G542+G565+G602</f>
        <v>33424.399369999999</v>
      </c>
      <c r="H541" s="113">
        <f t="shared" si="42"/>
        <v>99.878904968297675</v>
      </c>
      <c r="I541" s="132"/>
      <c r="J541" s="132"/>
      <c r="K541" s="132"/>
    </row>
    <row r="542" spans="1:11" s="75" customFormat="1" ht="31.5" x14ac:dyDescent="0.25">
      <c r="A542" s="116" t="s">
        <v>362</v>
      </c>
      <c r="B542" s="117" t="s">
        <v>129</v>
      </c>
      <c r="C542" s="117" t="s">
        <v>129</v>
      </c>
      <c r="D542" s="117" t="s">
        <v>321</v>
      </c>
      <c r="E542" s="117"/>
      <c r="F542" s="343">
        <f>F543</f>
        <v>17416.190280000003</v>
      </c>
      <c r="G542" s="566">
        <f>G543</f>
        <v>17375.665919999999</v>
      </c>
      <c r="H542" s="113">
        <f t="shared" si="42"/>
        <v>99.767317884402431</v>
      </c>
      <c r="I542" s="132"/>
      <c r="J542" s="132"/>
      <c r="K542" s="132"/>
    </row>
    <row r="543" spans="1:11" s="75" customFormat="1" ht="15.75" x14ac:dyDescent="0.25">
      <c r="A543" s="116" t="s">
        <v>363</v>
      </c>
      <c r="B543" s="117" t="s">
        <v>129</v>
      </c>
      <c r="C543" s="117" t="s">
        <v>129</v>
      </c>
      <c r="D543" s="117" t="s">
        <v>322</v>
      </c>
      <c r="E543" s="117"/>
      <c r="F543" s="343">
        <f>F544+F551+F556+F559+F562</f>
        <v>17416.190280000003</v>
      </c>
      <c r="G543" s="566">
        <f>G544+G551+G556+G559+G562</f>
        <v>17375.665919999999</v>
      </c>
      <c r="H543" s="113">
        <f t="shared" si="42"/>
        <v>99.767317884402431</v>
      </c>
      <c r="I543" s="132"/>
      <c r="J543" s="132"/>
      <c r="K543" s="132"/>
    </row>
    <row r="544" spans="1:11" ht="31.5" x14ac:dyDescent="0.25">
      <c r="A544" s="335" t="s">
        <v>346</v>
      </c>
      <c r="B544" s="334" t="s">
        <v>129</v>
      </c>
      <c r="C544" s="334" t="s">
        <v>129</v>
      </c>
      <c r="D544" s="334" t="s">
        <v>323</v>
      </c>
      <c r="E544" s="334"/>
      <c r="F544" s="342">
        <f>F545+F547+F549</f>
        <v>15685.75057</v>
      </c>
      <c r="G544" s="565">
        <f>G545+G547+G549</f>
        <v>15645.226209999999</v>
      </c>
      <c r="H544" s="114">
        <f t="shared" si="42"/>
        <v>99.741648575762085</v>
      </c>
    </row>
    <row r="545" spans="1:11" s="75" customFormat="1" ht="78.75" x14ac:dyDescent="0.25">
      <c r="A545" s="335" t="s">
        <v>84</v>
      </c>
      <c r="B545" s="334" t="s">
        <v>129</v>
      </c>
      <c r="C545" s="334" t="s">
        <v>129</v>
      </c>
      <c r="D545" s="334" t="s">
        <v>323</v>
      </c>
      <c r="E545" s="334" t="s">
        <v>85</v>
      </c>
      <c r="F545" s="342">
        <f>F546</f>
        <v>15633.04909</v>
      </c>
      <c r="G545" s="565">
        <f>G546</f>
        <v>15592.524729999999</v>
      </c>
      <c r="H545" s="114">
        <f t="shared" si="42"/>
        <v>99.740777632266742</v>
      </c>
      <c r="I545" s="132"/>
      <c r="J545" s="132"/>
      <c r="K545" s="132"/>
    </row>
    <row r="546" spans="1:11" s="75" customFormat="1" ht="31.5" x14ac:dyDescent="0.25">
      <c r="A546" s="335" t="s">
        <v>86</v>
      </c>
      <c r="B546" s="334" t="s">
        <v>129</v>
      </c>
      <c r="C546" s="334" t="s">
        <v>129</v>
      </c>
      <c r="D546" s="334" t="s">
        <v>323</v>
      </c>
      <c r="E546" s="334" t="s">
        <v>87</v>
      </c>
      <c r="F546" s="337">
        <f>'Пр.4 Ведом23'!G1311</f>
        <v>15633.04909</v>
      </c>
      <c r="G546" s="337">
        <f>'Пр.4 Ведом23'!H1311</f>
        <v>15592.524729999999</v>
      </c>
      <c r="H546" s="114">
        <f t="shared" si="42"/>
        <v>99.740777632266742</v>
      </c>
      <c r="I546" s="132"/>
      <c r="J546" s="132"/>
      <c r="K546" s="132"/>
    </row>
    <row r="547" spans="1:11" s="75" customFormat="1" ht="31.5" x14ac:dyDescent="0.25">
      <c r="A547" s="335" t="s">
        <v>88</v>
      </c>
      <c r="B547" s="334" t="s">
        <v>129</v>
      </c>
      <c r="C547" s="334" t="s">
        <v>129</v>
      </c>
      <c r="D547" s="334" t="s">
        <v>323</v>
      </c>
      <c r="E547" s="334" t="s">
        <v>89</v>
      </c>
      <c r="F547" s="337">
        <f>F548</f>
        <v>52.701480000000004</v>
      </c>
      <c r="G547" s="337">
        <f>G548</f>
        <v>52.701479999999997</v>
      </c>
      <c r="H547" s="114">
        <f t="shared" si="42"/>
        <v>99.999999999999986</v>
      </c>
      <c r="I547" s="132"/>
      <c r="J547" s="132"/>
      <c r="K547" s="132"/>
    </row>
    <row r="548" spans="1:11" s="75" customFormat="1" ht="31.5" customHeight="1" x14ac:dyDescent="0.25">
      <c r="A548" s="335" t="s">
        <v>90</v>
      </c>
      <c r="B548" s="334" t="s">
        <v>129</v>
      </c>
      <c r="C548" s="334" t="s">
        <v>129</v>
      </c>
      <c r="D548" s="334" t="s">
        <v>323</v>
      </c>
      <c r="E548" s="334" t="s">
        <v>91</v>
      </c>
      <c r="F548" s="337">
        <f>'Пр.4 Ведом23'!G1313</f>
        <v>52.701480000000004</v>
      </c>
      <c r="G548" s="337">
        <f>'Пр.4 Ведом23'!H1313</f>
        <v>52.701479999999997</v>
      </c>
      <c r="H548" s="114">
        <f t="shared" si="42"/>
        <v>99.999999999999986</v>
      </c>
      <c r="I548" s="132"/>
      <c r="J548" s="132"/>
      <c r="K548" s="132"/>
    </row>
    <row r="549" spans="1:11" s="75" customFormat="1" ht="15.75" hidden="1" customHeight="1" x14ac:dyDescent="0.25">
      <c r="A549" s="335" t="s">
        <v>92</v>
      </c>
      <c r="B549" s="334" t="s">
        <v>129</v>
      </c>
      <c r="C549" s="334" t="s">
        <v>129</v>
      </c>
      <c r="D549" s="334" t="s">
        <v>323</v>
      </c>
      <c r="E549" s="334" t="s">
        <v>98</v>
      </c>
      <c r="F549" s="342">
        <f>F550</f>
        <v>0</v>
      </c>
      <c r="G549" s="565">
        <f>G550</f>
        <v>0</v>
      </c>
      <c r="H549" s="114" t="e">
        <f t="shared" si="42"/>
        <v>#DIV/0!</v>
      </c>
      <c r="I549" s="132"/>
      <c r="J549" s="132"/>
      <c r="K549" s="132"/>
    </row>
    <row r="550" spans="1:11" ht="15.75" hidden="1" customHeight="1" x14ac:dyDescent="0.25">
      <c r="A550" s="335" t="s">
        <v>223</v>
      </c>
      <c r="B550" s="334" t="s">
        <v>129</v>
      </c>
      <c r="C550" s="334" t="s">
        <v>129</v>
      </c>
      <c r="D550" s="334" t="s">
        <v>323</v>
      </c>
      <c r="E550" s="334" t="s">
        <v>94</v>
      </c>
      <c r="F550" s="342"/>
      <c r="G550" s="565"/>
      <c r="H550" s="114" t="e">
        <f t="shared" si="42"/>
        <v>#DIV/0!</v>
      </c>
    </row>
    <row r="551" spans="1:11" ht="31.5" x14ac:dyDescent="0.25">
      <c r="A551" s="335" t="s">
        <v>305</v>
      </c>
      <c r="B551" s="334" t="s">
        <v>129</v>
      </c>
      <c r="C551" s="334" t="s">
        <v>129</v>
      </c>
      <c r="D551" s="334" t="s">
        <v>324</v>
      </c>
      <c r="E551" s="334"/>
      <c r="F551" s="342">
        <f>F552+F554</f>
        <v>1069.42813</v>
      </c>
      <c r="G551" s="565">
        <f>G552+G554</f>
        <v>1069.42813</v>
      </c>
      <c r="H551" s="114">
        <f t="shared" si="42"/>
        <v>100</v>
      </c>
    </row>
    <row r="552" spans="1:11" ht="78.75" x14ac:dyDescent="0.25">
      <c r="A552" s="335" t="s">
        <v>84</v>
      </c>
      <c r="B552" s="334" t="s">
        <v>129</v>
      </c>
      <c r="C552" s="334" t="s">
        <v>129</v>
      </c>
      <c r="D552" s="334" t="s">
        <v>324</v>
      </c>
      <c r="E552" s="334" t="s">
        <v>85</v>
      </c>
      <c r="F552" s="342">
        <f>F553</f>
        <v>1066.3781300000001</v>
      </c>
      <c r="G552" s="565">
        <f>G553</f>
        <v>1066.3781300000001</v>
      </c>
      <c r="H552" s="114">
        <f t="shared" si="42"/>
        <v>100</v>
      </c>
    </row>
    <row r="553" spans="1:11" ht="31.5" x14ac:dyDescent="0.25">
      <c r="A553" s="335" t="s">
        <v>86</v>
      </c>
      <c r="B553" s="334" t="s">
        <v>129</v>
      </c>
      <c r="C553" s="334" t="s">
        <v>129</v>
      </c>
      <c r="D553" s="334" t="s">
        <v>324</v>
      </c>
      <c r="E553" s="334" t="s">
        <v>87</v>
      </c>
      <c r="F553" s="342">
        <f>'Пр.4 Ведом23'!G1318</f>
        <v>1066.3781300000001</v>
      </c>
      <c r="G553" s="565">
        <f>'Пр.4 Ведом23'!H1318</f>
        <v>1066.3781300000001</v>
      </c>
      <c r="H553" s="114">
        <f t="shared" si="42"/>
        <v>100</v>
      </c>
    </row>
    <row r="554" spans="1:11" s="275" customFormat="1" ht="42" customHeight="1" x14ac:dyDescent="0.25">
      <c r="A554" s="353" t="s">
        <v>1058</v>
      </c>
      <c r="B554" s="334" t="s">
        <v>129</v>
      </c>
      <c r="C554" s="334" t="s">
        <v>129</v>
      </c>
      <c r="D554" s="334" t="s">
        <v>324</v>
      </c>
      <c r="E554" s="334" t="s">
        <v>89</v>
      </c>
      <c r="F554" s="342">
        <f>F555</f>
        <v>3.05</v>
      </c>
      <c r="G554" s="565">
        <f>G555</f>
        <v>3.05</v>
      </c>
      <c r="H554" s="114">
        <f t="shared" si="42"/>
        <v>100</v>
      </c>
    </row>
    <row r="555" spans="1:11" s="264" customFormat="1" ht="45" customHeight="1" x14ac:dyDescent="0.25">
      <c r="A555" s="353" t="s">
        <v>1058</v>
      </c>
      <c r="B555" s="334" t="s">
        <v>129</v>
      </c>
      <c r="C555" s="334" t="s">
        <v>129</v>
      </c>
      <c r="D555" s="334" t="s">
        <v>324</v>
      </c>
      <c r="E555" s="334" t="s">
        <v>91</v>
      </c>
      <c r="F555" s="342">
        <f>'Пр.4 Ведом23'!G1320</f>
        <v>3.05</v>
      </c>
      <c r="G555" s="565">
        <f>'Пр.4 Ведом23'!H1320</f>
        <v>3.05</v>
      </c>
      <c r="H555" s="114">
        <f t="shared" si="42"/>
        <v>100</v>
      </c>
    </row>
    <row r="556" spans="1:11" ht="47.25" x14ac:dyDescent="0.25">
      <c r="A556" s="335" t="s">
        <v>304</v>
      </c>
      <c r="B556" s="334" t="s">
        <v>129</v>
      </c>
      <c r="C556" s="334" t="s">
        <v>129</v>
      </c>
      <c r="D556" s="334" t="s">
        <v>325</v>
      </c>
      <c r="E556" s="334"/>
      <c r="F556" s="342">
        <f>F557</f>
        <v>440.97158000000002</v>
      </c>
      <c r="G556" s="565">
        <f>G557</f>
        <v>440.97158000000002</v>
      </c>
      <c r="H556" s="114">
        <f t="shared" si="42"/>
        <v>100</v>
      </c>
    </row>
    <row r="557" spans="1:11" ht="78.75" x14ac:dyDescent="0.25">
      <c r="A557" s="335" t="s">
        <v>84</v>
      </c>
      <c r="B557" s="334" t="s">
        <v>129</v>
      </c>
      <c r="C557" s="334" t="s">
        <v>129</v>
      </c>
      <c r="D557" s="334" t="s">
        <v>325</v>
      </c>
      <c r="E557" s="334" t="s">
        <v>85</v>
      </c>
      <c r="F557" s="342">
        <f>F558</f>
        <v>440.97158000000002</v>
      </c>
      <c r="G557" s="565">
        <f>G558</f>
        <v>440.97158000000002</v>
      </c>
      <c r="H557" s="114">
        <f t="shared" si="42"/>
        <v>100</v>
      </c>
    </row>
    <row r="558" spans="1:11" ht="31.5" x14ac:dyDescent="0.25">
      <c r="A558" s="335" t="s">
        <v>86</v>
      </c>
      <c r="B558" s="334" t="s">
        <v>129</v>
      </c>
      <c r="C558" s="334" t="s">
        <v>129</v>
      </c>
      <c r="D558" s="334" t="s">
        <v>325</v>
      </c>
      <c r="E558" s="334" t="s">
        <v>87</v>
      </c>
      <c r="F558" s="342">
        <f>'Пр.4 Ведом23'!G1323</f>
        <v>440.97158000000002</v>
      </c>
      <c r="G558" s="565">
        <f>'Пр.4 Ведом23'!H1323</f>
        <v>440.97158000000002</v>
      </c>
      <c r="H558" s="114">
        <f t="shared" si="42"/>
        <v>100</v>
      </c>
    </row>
    <row r="559" spans="1:11" s="332" customFormat="1" ht="31.5" x14ac:dyDescent="0.25">
      <c r="A559" s="335" t="s">
        <v>1085</v>
      </c>
      <c r="B559" s="334" t="s">
        <v>129</v>
      </c>
      <c r="C559" s="334" t="s">
        <v>129</v>
      </c>
      <c r="D559" s="334" t="s">
        <v>1081</v>
      </c>
      <c r="E559" s="334"/>
      <c r="F559" s="342">
        <f>F560</f>
        <v>156.24</v>
      </c>
      <c r="G559" s="565">
        <f>G560</f>
        <v>156.24</v>
      </c>
      <c r="H559" s="114">
        <f t="shared" si="42"/>
        <v>100</v>
      </c>
      <c r="I559" s="333"/>
      <c r="J559" s="333"/>
      <c r="K559" s="333"/>
    </row>
    <row r="560" spans="1:11" s="332" customFormat="1" ht="78.75" x14ac:dyDescent="0.25">
      <c r="A560" s="335" t="s">
        <v>84</v>
      </c>
      <c r="B560" s="334" t="s">
        <v>129</v>
      </c>
      <c r="C560" s="334" t="s">
        <v>129</v>
      </c>
      <c r="D560" s="334" t="s">
        <v>1081</v>
      </c>
      <c r="E560" s="334" t="s">
        <v>85</v>
      </c>
      <c r="F560" s="342">
        <f>F561</f>
        <v>156.24</v>
      </c>
      <c r="G560" s="565">
        <f>G561</f>
        <v>156.24</v>
      </c>
      <c r="H560" s="114">
        <f t="shared" si="42"/>
        <v>100</v>
      </c>
      <c r="I560" s="333"/>
      <c r="J560" s="333"/>
      <c r="K560" s="333"/>
    </row>
    <row r="561" spans="1:11" s="332" customFormat="1" ht="31.5" x14ac:dyDescent="0.25">
      <c r="A561" s="335" t="s">
        <v>86</v>
      </c>
      <c r="B561" s="334" t="s">
        <v>129</v>
      </c>
      <c r="C561" s="334" t="s">
        <v>129</v>
      </c>
      <c r="D561" s="334" t="s">
        <v>1081</v>
      </c>
      <c r="E561" s="334" t="s">
        <v>87</v>
      </c>
      <c r="F561" s="342">
        <f>'Пр.4 Ведом23'!G1326</f>
        <v>156.24</v>
      </c>
      <c r="G561" s="565">
        <f>'Пр.4 Ведом23'!H1326</f>
        <v>156.24</v>
      </c>
      <c r="H561" s="114">
        <f t="shared" si="42"/>
        <v>100</v>
      </c>
      <c r="I561" s="333"/>
      <c r="J561" s="333"/>
      <c r="K561" s="333"/>
    </row>
    <row r="562" spans="1:11" s="332" customFormat="1" ht="47.25" customHeight="1" x14ac:dyDescent="0.25">
      <c r="A562" s="335" t="s">
        <v>1107</v>
      </c>
      <c r="B562" s="334" t="s">
        <v>129</v>
      </c>
      <c r="C562" s="334" t="s">
        <v>129</v>
      </c>
      <c r="D562" s="334" t="s">
        <v>1106</v>
      </c>
      <c r="E562" s="334"/>
      <c r="F562" s="342">
        <f>F563</f>
        <v>63.8</v>
      </c>
      <c r="G562" s="565">
        <f>G563</f>
        <v>63.8</v>
      </c>
      <c r="H562" s="114">
        <f t="shared" si="42"/>
        <v>100</v>
      </c>
      <c r="I562" s="333"/>
      <c r="J562" s="333"/>
      <c r="K562" s="333"/>
    </row>
    <row r="563" spans="1:11" s="332" customFormat="1" ht="78.75" x14ac:dyDescent="0.25">
      <c r="A563" s="335" t="s">
        <v>84</v>
      </c>
      <c r="B563" s="334" t="s">
        <v>129</v>
      </c>
      <c r="C563" s="334" t="s">
        <v>129</v>
      </c>
      <c r="D563" s="334" t="s">
        <v>1106</v>
      </c>
      <c r="E563" s="334" t="s">
        <v>85</v>
      </c>
      <c r="F563" s="342">
        <f>F564</f>
        <v>63.8</v>
      </c>
      <c r="G563" s="565">
        <f>G564</f>
        <v>63.8</v>
      </c>
      <c r="H563" s="114">
        <f t="shared" si="42"/>
        <v>100</v>
      </c>
      <c r="I563" s="333"/>
      <c r="J563" s="333"/>
      <c r="K563" s="333"/>
    </row>
    <row r="564" spans="1:11" s="332" customFormat="1" ht="31.5" x14ac:dyDescent="0.25">
      <c r="A564" s="335" t="s">
        <v>86</v>
      </c>
      <c r="B564" s="334" t="s">
        <v>129</v>
      </c>
      <c r="C564" s="334" t="s">
        <v>129</v>
      </c>
      <c r="D564" s="334" t="s">
        <v>1106</v>
      </c>
      <c r="E564" s="334" t="s">
        <v>87</v>
      </c>
      <c r="F564" s="342">
        <f>'Пр.4 Ведом23'!G1329</f>
        <v>63.8</v>
      </c>
      <c r="G564" s="565">
        <f>'Пр.4 Ведом23'!H1329</f>
        <v>63.8</v>
      </c>
      <c r="H564" s="114">
        <f t="shared" si="42"/>
        <v>100</v>
      </c>
      <c r="I564" s="333"/>
      <c r="J564" s="333"/>
      <c r="K564" s="333"/>
    </row>
    <row r="565" spans="1:11" s="75" customFormat="1" ht="15.75" x14ac:dyDescent="0.25">
      <c r="A565" s="116" t="s">
        <v>97</v>
      </c>
      <c r="B565" s="117" t="s">
        <v>129</v>
      </c>
      <c r="C565" s="117" t="s">
        <v>129</v>
      </c>
      <c r="D565" s="117" t="s">
        <v>329</v>
      </c>
      <c r="E565" s="117"/>
      <c r="F565" s="343">
        <f>F566+F583</f>
        <v>16048.733449999998</v>
      </c>
      <c r="G565" s="566">
        <f>G566+G583</f>
        <v>16048.733449999996</v>
      </c>
      <c r="H565" s="113">
        <f t="shared" si="42"/>
        <v>99.999999999999986</v>
      </c>
      <c r="I565" s="132"/>
      <c r="J565" s="132"/>
      <c r="K565" s="132"/>
    </row>
    <row r="566" spans="1:11" ht="15.75" x14ac:dyDescent="0.25">
      <c r="A566" s="116" t="s">
        <v>385</v>
      </c>
      <c r="B566" s="117" t="s">
        <v>129</v>
      </c>
      <c r="C566" s="117" t="s">
        <v>129</v>
      </c>
      <c r="D566" s="117" t="s">
        <v>384</v>
      </c>
      <c r="E566" s="117"/>
      <c r="F566" s="343">
        <f>F567+F570+F577+F580</f>
        <v>14507.961469999998</v>
      </c>
      <c r="G566" s="566">
        <f>G567+G570+G577+G580</f>
        <v>14507.961469999997</v>
      </c>
      <c r="H566" s="113">
        <f t="shared" si="42"/>
        <v>99.999999999999986</v>
      </c>
    </row>
    <row r="567" spans="1:11" ht="47.25" x14ac:dyDescent="0.25">
      <c r="A567" s="335" t="s">
        <v>304</v>
      </c>
      <c r="B567" s="334" t="s">
        <v>129</v>
      </c>
      <c r="C567" s="334" t="s">
        <v>129</v>
      </c>
      <c r="D567" s="334" t="s">
        <v>387</v>
      </c>
      <c r="E567" s="334"/>
      <c r="F567" s="342">
        <f>F568</f>
        <v>500.24930000000001</v>
      </c>
      <c r="G567" s="565">
        <f>G568</f>
        <v>500.24930000000001</v>
      </c>
      <c r="H567" s="114">
        <f t="shared" si="42"/>
        <v>100</v>
      </c>
    </row>
    <row r="568" spans="1:11" ht="78.75" x14ac:dyDescent="0.25">
      <c r="A568" s="335" t="s">
        <v>84</v>
      </c>
      <c r="B568" s="334" t="s">
        <v>129</v>
      </c>
      <c r="C568" s="334" t="s">
        <v>129</v>
      </c>
      <c r="D568" s="334" t="s">
        <v>387</v>
      </c>
      <c r="E568" s="334" t="s">
        <v>85</v>
      </c>
      <c r="F568" s="342">
        <f>F569</f>
        <v>500.24930000000001</v>
      </c>
      <c r="G568" s="565">
        <f>G569</f>
        <v>500.24930000000001</v>
      </c>
      <c r="H568" s="114">
        <f t="shared" si="42"/>
        <v>100</v>
      </c>
    </row>
    <row r="569" spans="1:11" ht="31.5" x14ac:dyDescent="0.25">
      <c r="A569" s="335" t="s">
        <v>168</v>
      </c>
      <c r="B569" s="334" t="s">
        <v>129</v>
      </c>
      <c r="C569" s="334" t="s">
        <v>129</v>
      </c>
      <c r="D569" s="334" t="s">
        <v>387</v>
      </c>
      <c r="E569" s="334" t="s">
        <v>117</v>
      </c>
      <c r="F569" s="342">
        <f>'Пр.4 Ведом23'!G1334</f>
        <v>500.24930000000001</v>
      </c>
      <c r="G569" s="565">
        <f>'Пр.4 Ведом23'!H1334</f>
        <v>500.24930000000001</v>
      </c>
      <c r="H569" s="114">
        <f t="shared" si="42"/>
        <v>100</v>
      </c>
    </row>
    <row r="570" spans="1:11" ht="15.75" x14ac:dyDescent="0.25">
      <c r="A570" s="335" t="s">
        <v>283</v>
      </c>
      <c r="B570" s="334" t="s">
        <v>129</v>
      </c>
      <c r="C570" s="334" t="s">
        <v>129</v>
      </c>
      <c r="D570" s="334" t="s">
        <v>386</v>
      </c>
      <c r="E570" s="334"/>
      <c r="F570" s="342">
        <f>F571+F573+F575</f>
        <v>13764.35217</v>
      </c>
      <c r="G570" s="565">
        <f>G571+G573+G575</f>
        <v>13764.352169999998</v>
      </c>
      <c r="H570" s="114">
        <f t="shared" si="42"/>
        <v>99.999999999999986</v>
      </c>
    </row>
    <row r="571" spans="1:11" ht="78.75" x14ac:dyDescent="0.25">
      <c r="A571" s="335" t="s">
        <v>84</v>
      </c>
      <c r="B571" s="334" t="s">
        <v>129</v>
      </c>
      <c r="C571" s="334" t="s">
        <v>129</v>
      </c>
      <c r="D571" s="334" t="s">
        <v>386</v>
      </c>
      <c r="E571" s="334" t="s">
        <v>85</v>
      </c>
      <c r="F571" s="342">
        <f>F572</f>
        <v>11968.096060000002</v>
      </c>
      <c r="G571" s="565">
        <f>G572</f>
        <v>11968.09606</v>
      </c>
      <c r="H571" s="114">
        <f t="shared" si="42"/>
        <v>99.999999999999986</v>
      </c>
    </row>
    <row r="572" spans="1:11" ht="31.5" x14ac:dyDescent="0.25">
      <c r="A572" s="335" t="s">
        <v>168</v>
      </c>
      <c r="B572" s="334" t="s">
        <v>129</v>
      </c>
      <c r="C572" s="334" t="s">
        <v>129</v>
      </c>
      <c r="D572" s="334" t="s">
        <v>386</v>
      </c>
      <c r="E572" s="334" t="s">
        <v>117</v>
      </c>
      <c r="F572" s="342">
        <f>'Пр.4 Ведом23'!G1337</f>
        <v>11968.096060000002</v>
      </c>
      <c r="G572" s="565">
        <f>'Пр.4 Ведом23'!H1337</f>
        <v>11968.09606</v>
      </c>
      <c r="H572" s="114">
        <f t="shared" si="42"/>
        <v>99.999999999999986</v>
      </c>
    </row>
    <row r="573" spans="1:11" ht="31.5" x14ac:dyDescent="0.25">
      <c r="A573" s="335" t="s">
        <v>88</v>
      </c>
      <c r="B573" s="334" t="s">
        <v>129</v>
      </c>
      <c r="C573" s="334" t="s">
        <v>129</v>
      </c>
      <c r="D573" s="334" t="s">
        <v>386</v>
      </c>
      <c r="E573" s="334" t="s">
        <v>89</v>
      </c>
      <c r="F573" s="342">
        <f>F574</f>
        <v>1752.0011100000002</v>
      </c>
      <c r="G573" s="565">
        <f>G574</f>
        <v>1752.0011099999999</v>
      </c>
      <c r="H573" s="114">
        <f t="shared" si="42"/>
        <v>99.999999999999986</v>
      </c>
    </row>
    <row r="574" spans="1:11" s="264" customFormat="1" ht="31.5" customHeight="1" x14ac:dyDescent="0.25">
      <c r="A574" s="335" t="s">
        <v>90</v>
      </c>
      <c r="B574" s="334" t="s">
        <v>129</v>
      </c>
      <c r="C574" s="334" t="s">
        <v>129</v>
      </c>
      <c r="D574" s="334" t="s">
        <v>386</v>
      </c>
      <c r="E574" s="334" t="s">
        <v>91</v>
      </c>
      <c r="F574" s="342">
        <f>'Пр.4 Ведом23'!G1339</f>
        <v>1752.0011100000002</v>
      </c>
      <c r="G574" s="565">
        <f>'Пр.4 Ведом23'!H1339</f>
        <v>1752.0011099999999</v>
      </c>
      <c r="H574" s="114">
        <f t="shared" si="42"/>
        <v>99.999999999999986</v>
      </c>
    </row>
    <row r="575" spans="1:11" ht="15.75" x14ac:dyDescent="0.25">
      <c r="A575" s="335" t="s">
        <v>92</v>
      </c>
      <c r="B575" s="334" t="s">
        <v>129</v>
      </c>
      <c r="C575" s="334" t="s">
        <v>129</v>
      </c>
      <c r="D575" s="334" t="s">
        <v>386</v>
      </c>
      <c r="E575" s="334" t="s">
        <v>98</v>
      </c>
      <c r="F575" s="342">
        <f>F576</f>
        <v>44.255000000000003</v>
      </c>
      <c r="G575" s="565">
        <f>G576</f>
        <v>44.255000000000003</v>
      </c>
      <c r="H575" s="114">
        <f t="shared" si="42"/>
        <v>100</v>
      </c>
    </row>
    <row r="576" spans="1:11" s="264" customFormat="1" ht="15.75" x14ac:dyDescent="0.25">
      <c r="A576" s="335" t="s">
        <v>223</v>
      </c>
      <c r="B576" s="334" t="s">
        <v>129</v>
      </c>
      <c r="C576" s="334" t="s">
        <v>129</v>
      </c>
      <c r="D576" s="334" t="s">
        <v>386</v>
      </c>
      <c r="E576" s="334" t="s">
        <v>94</v>
      </c>
      <c r="F576" s="342">
        <f>'Пр.4 Ведом23'!G1341</f>
        <v>44.255000000000003</v>
      </c>
      <c r="G576" s="565">
        <f>'Пр.4 Ведом23'!H1341</f>
        <v>44.255000000000003</v>
      </c>
      <c r="H576" s="114">
        <f t="shared" si="42"/>
        <v>100</v>
      </c>
    </row>
    <row r="577" spans="1:11" s="339" customFormat="1" ht="31.5" x14ac:dyDescent="0.25">
      <c r="A577" s="335" t="s">
        <v>1085</v>
      </c>
      <c r="B577" s="334" t="s">
        <v>129</v>
      </c>
      <c r="C577" s="334" t="s">
        <v>129</v>
      </c>
      <c r="D577" s="334" t="s">
        <v>1083</v>
      </c>
      <c r="E577" s="334"/>
      <c r="F577" s="342">
        <f>F578</f>
        <v>39.06</v>
      </c>
      <c r="G577" s="565">
        <f>G578</f>
        <v>39.06</v>
      </c>
      <c r="H577" s="114">
        <f t="shared" si="42"/>
        <v>100</v>
      </c>
    </row>
    <row r="578" spans="1:11" s="339" customFormat="1" ht="78.75" x14ac:dyDescent="0.25">
      <c r="A578" s="335" t="s">
        <v>84</v>
      </c>
      <c r="B578" s="334" t="s">
        <v>129</v>
      </c>
      <c r="C578" s="334" t="s">
        <v>129</v>
      </c>
      <c r="D578" s="334" t="s">
        <v>1083</v>
      </c>
      <c r="E578" s="334" t="s">
        <v>85</v>
      </c>
      <c r="F578" s="342">
        <f>F579</f>
        <v>39.06</v>
      </c>
      <c r="G578" s="565">
        <f>G579</f>
        <v>39.06</v>
      </c>
      <c r="H578" s="114">
        <f t="shared" si="42"/>
        <v>100</v>
      </c>
    </row>
    <row r="579" spans="1:11" s="339" customFormat="1" ht="31.5" x14ac:dyDescent="0.25">
      <c r="A579" s="335" t="s">
        <v>168</v>
      </c>
      <c r="B579" s="334" t="s">
        <v>129</v>
      </c>
      <c r="C579" s="334" t="s">
        <v>129</v>
      </c>
      <c r="D579" s="334" t="s">
        <v>1083</v>
      </c>
      <c r="E579" s="334" t="s">
        <v>117</v>
      </c>
      <c r="F579" s="342">
        <f>'Пр.4 Ведом23'!G1344</f>
        <v>39.06</v>
      </c>
      <c r="G579" s="565">
        <f>'Пр.4 Ведом23'!H1344</f>
        <v>39.06</v>
      </c>
      <c r="H579" s="114">
        <f t="shared" si="42"/>
        <v>100</v>
      </c>
    </row>
    <row r="580" spans="1:11" s="339" customFormat="1" ht="31.5" x14ac:dyDescent="0.25">
      <c r="A580" s="335" t="s">
        <v>1118</v>
      </c>
      <c r="B580" s="334" t="s">
        <v>129</v>
      </c>
      <c r="C580" s="334" t="s">
        <v>129</v>
      </c>
      <c r="D580" s="334" t="s">
        <v>1119</v>
      </c>
      <c r="E580" s="334"/>
      <c r="F580" s="342">
        <f>F581</f>
        <v>204.3</v>
      </c>
      <c r="G580" s="565">
        <f>G581</f>
        <v>204.3</v>
      </c>
      <c r="H580" s="114">
        <f t="shared" si="42"/>
        <v>100</v>
      </c>
    </row>
    <row r="581" spans="1:11" s="339" customFormat="1" ht="78.75" x14ac:dyDescent="0.25">
      <c r="A581" s="335" t="s">
        <v>84</v>
      </c>
      <c r="B581" s="334" t="s">
        <v>129</v>
      </c>
      <c r="C581" s="334" t="s">
        <v>129</v>
      </c>
      <c r="D581" s="334" t="s">
        <v>1119</v>
      </c>
      <c r="E581" s="334" t="s">
        <v>85</v>
      </c>
      <c r="F581" s="342">
        <f>F582</f>
        <v>204.3</v>
      </c>
      <c r="G581" s="565">
        <f>G582</f>
        <v>204.3</v>
      </c>
      <c r="H581" s="114">
        <f t="shared" si="42"/>
        <v>100</v>
      </c>
    </row>
    <row r="582" spans="1:11" s="339" customFormat="1" ht="31.5" x14ac:dyDescent="0.25">
      <c r="A582" s="335" t="s">
        <v>168</v>
      </c>
      <c r="B582" s="334" t="s">
        <v>129</v>
      </c>
      <c r="C582" s="334" t="s">
        <v>129</v>
      </c>
      <c r="D582" s="334" t="s">
        <v>1119</v>
      </c>
      <c r="E582" s="334" t="s">
        <v>117</v>
      </c>
      <c r="F582" s="342">
        <f>'Пр.4 Ведом23'!G1347</f>
        <v>204.3</v>
      </c>
      <c r="G582" s="565">
        <f>'Пр.4 Ведом23'!H1347</f>
        <v>204.3</v>
      </c>
      <c r="H582" s="114">
        <f t="shared" si="42"/>
        <v>100</v>
      </c>
    </row>
    <row r="583" spans="1:11" s="75" customFormat="1" ht="31.5" x14ac:dyDescent="0.25">
      <c r="A583" s="116" t="s">
        <v>330</v>
      </c>
      <c r="B583" s="117" t="s">
        <v>129</v>
      </c>
      <c r="C583" s="117" t="s">
        <v>129</v>
      </c>
      <c r="D583" s="117" t="s">
        <v>328</v>
      </c>
      <c r="E583" s="117"/>
      <c r="F583" s="343">
        <f>F584+F591+F597+F599</f>
        <v>1540.77198</v>
      </c>
      <c r="G583" s="566">
        <f>G584+G591+G597+G599</f>
        <v>1540.77198</v>
      </c>
      <c r="H583" s="113">
        <f t="shared" si="42"/>
        <v>100</v>
      </c>
      <c r="I583" s="132"/>
      <c r="J583" s="132"/>
      <c r="K583" s="132"/>
    </row>
    <row r="584" spans="1:11" ht="31.5" x14ac:dyDescent="0.25">
      <c r="A584" s="335" t="s">
        <v>225</v>
      </c>
      <c r="B584" s="334" t="s">
        <v>129</v>
      </c>
      <c r="C584" s="334" t="s">
        <v>129</v>
      </c>
      <c r="D584" s="334" t="s">
        <v>415</v>
      </c>
      <c r="E584" s="334"/>
      <c r="F584" s="342">
        <f>F585+F587</f>
        <v>1330.5991799999999</v>
      </c>
      <c r="G584" s="565">
        <f>G585+G587</f>
        <v>1330.5991799999999</v>
      </c>
      <c r="H584" s="114">
        <f t="shared" si="42"/>
        <v>100</v>
      </c>
    </row>
    <row r="585" spans="1:11" ht="31.5" hidden="1" customHeight="1" x14ac:dyDescent="0.25">
      <c r="A585" s="335" t="s">
        <v>681</v>
      </c>
      <c r="B585" s="334" t="s">
        <v>129</v>
      </c>
      <c r="C585" s="334" t="s">
        <v>129</v>
      </c>
      <c r="D585" s="334" t="s">
        <v>415</v>
      </c>
      <c r="E585" s="334" t="s">
        <v>138</v>
      </c>
      <c r="F585" s="342">
        <f>F586</f>
        <v>0</v>
      </c>
      <c r="G585" s="565">
        <f>G586</f>
        <v>0</v>
      </c>
      <c r="H585" s="114" t="e">
        <f t="shared" si="42"/>
        <v>#DIV/0!</v>
      </c>
    </row>
    <row r="586" spans="1:11" ht="15.75" hidden="1" customHeight="1" x14ac:dyDescent="0.25">
      <c r="A586" s="335" t="s">
        <v>680</v>
      </c>
      <c r="B586" s="334" t="s">
        <v>129</v>
      </c>
      <c r="C586" s="334" t="s">
        <v>129</v>
      </c>
      <c r="D586" s="334" t="s">
        <v>415</v>
      </c>
      <c r="E586" s="334" t="s">
        <v>682</v>
      </c>
      <c r="F586" s="342">
        <f>'Пр.4 Ведом23'!G1351</f>
        <v>0</v>
      </c>
      <c r="G586" s="565">
        <f>'Пр.4 Ведом23'!H1351</f>
        <v>0</v>
      </c>
      <c r="H586" s="114" t="e">
        <f t="shared" si="42"/>
        <v>#DIV/0!</v>
      </c>
    </row>
    <row r="587" spans="1:11" s="75" customFormat="1" ht="15.75" x14ac:dyDescent="0.25">
      <c r="A587" s="335" t="s">
        <v>92</v>
      </c>
      <c r="B587" s="334" t="s">
        <v>129</v>
      </c>
      <c r="C587" s="334" t="s">
        <v>129</v>
      </c>
      <c r="D587" s="334" t="s">
        <v>415</v>
      </c>
      <c r="E587" s="334" t="s">
        <v>98</v>
      </c>
      <c r="F587" s="337">
        <f>F588+F589+F590</f>
        <v>1330.5991799999999</v>
      </c>
      <c r="G587" s="337">
        <f>G588+G589+G590</f>
        <v>1330.5991799999999</v>
      </c>
      <c r="H587" s="114">
        <f t="shared" ref="H587:H650" si="45">G587/F587*100</f>
        <v>100</v>
      </c>
      <c r="I587" s="132"/>
      <c r="J587" s="132"/>
      <c r="K587" s="132"/>
    </row>
    <row r="588" spans="1:11" s="75" customFormat="1" ht="47.25" x14ac:dyDescent="0.25">
      <c r="A588" s="335" t="s">
        <v>110</v>
      </c>
      <c r="B588" s="334" t="s">
        <v>129</v>
      </c>
      <c r="C588" s="334" t="s">
        <v>129</v>
      </c>
      <c r="D588" s="334" t="s">
        <v>415</v>
      </c>
      <c r="E588" s="334" t="s">
        <v>105</v>
      </c>
      <c r="F588" s="337">
        <f>'Пр.4 Ведом23'!G1353+'Пр.4 Ведом23'!G264</f>
        <v>1330.5991799999999</v>
      </c>
      <c r="G588" s="337">
        <f>'Пр.4 Ведом23'!H1353+'Пр.4 Ведом23'!H264</f>
        <v>1330.5991799999999</v>
      </c>
      <c r="H588" s="114">
        <f t="shared" si="45"/>
        <v>100</v>
      </c>
      <c r="I588" s="132"/>
      <c r="J588" s="132"/>
      <c r="K588" s="132"/>
    </row>
    <row r="589" spans="1:11" s="75" customFormat="1" ht="15.75" hidden="1" customHeight="1" x14ac:dyDescent="0.25">
      <c r="A589" s="335" t="s">
        <v>258</v>
      </c>
      <c r="B589" s="334" t="s">
        <v>129</v>
      </c>
      <c r="C589" s="334" t="s">
        <v>129</v>
      </c>
      <c r="D589" s="334" t="s">
        <v>415</v>
      </c>
      <c r="E589" s="334" t="s">
        <v>94</v>
      </c>
      <c r="F589" s="337">
        <f>'Пр.4 Ведом23'!G1354</f>
        <v>0</v>
      </c>
      <c r="G589" s="337">
        <f>'Пр.4 Ведом23'!H1354</f>
        <v>0</v>
      </c>
      <c r="H589" s="114" t="e">
        <f t="shared" si="45"/>
        <v>#DIV/0!</v>
      </c>
      <c r="I589" s="132"/>
      <c r="J589" s="132"/>
      <c r="K589" s="132"/>
    </row>
    <row r="590" spans="1:11" s="75" customFormat="1" ht="15.75" hidden="1" customHeight="1" x14ac:dyDescent="0.25">
      <c r="A590" s="335" t="s">
        <v>711</v>
      </c>
      <c r="B590" s="334" t="s">
        <v>129</v>
      </c>
      <c r="C590" s="334" t="s">
        <v>129</v>
      </c>
      <c r="D590" s="334" t="s">
        <v>415</v>
      </c>
      <c r="E590" s="334" t="s">
        <v>712</v>
      </c>
      <c r="F590" s="342">
        <f>'Пр.4 Ведом23'!G1355</f>
        <v>0</v>
      </c>
      <c r="G590" s="565">
        <f>'Пр.4 Ведом23'!H1355</f>
        <v>0</v>
      </c>
      <c r="H590" s="114" t="e">
        <f t="shared" si="45"/>
        <v>#DIV/0!</v>
      </c>
      <c r="I590" s="132"/>
      <c r="J590" s="132"/>
      <c r="K590" s="132"/>
    </row>
    <row r="591" spans="1:11" s="75" customFormat="1" ht="31.5" hidden="1" customHeight="1" x14ac:dyDescent="0.25">
      <c r="A591" s="335" t="s">
        <v>717</v>
      </c>
      <c r="B591" s="334" t="s">
        <v>129</v>
      </c>
      <c r="C591" s="334" t="s">
        <v>129</v>
      </c>
      <c r="D591" s="334" t="s">
        <v>718</v>
      </c>
      <c r="E591" s="334"/>
      <c r="F591" s="342">
        <f>F592+F594</f>
        <v>0</v>
      </c>
      <c r="G591" s="565">
        <f>G592+G594</f>
        <v>0</v>
      </c>
      <c r="H591" s="114" t="e">
        <f t="shared" si="45"/>
        <v>#DIV/0!</v>
      </c>
      <c r="I591" s="132"/>
      <c r="J591" s="132"/>
      <c r="K591" s="132"/>
    </row>
    <row r="592" spans="1:11" s="75" customFormat="1" ht="15.75" hidden="1" customHeight="1" x14ac:dyDescent="0.25">
      <c r="A592" s="335" t="s">
        <v>719</v>
      </c>
      <c r="B592" s="334" t="s">
        <v>129</v>
      </c>
      <c r="C592" s="334" t="s">
        <v>129</v>
      </c>
      <c r="D592" s="334" t="s">
        <v>718</v>
      </c>
      <c r="E592" s="334" t="s">
        <v>302</v>
      </c>
      <c r="F592" s="342">
        <f>F593</f>
        <v>0</v>
      </c>
      <c r="G592" s="565">
        <f>G593</f>
        <v>0</v>
      </c>
      <c r="H592" s="114" t="e">
        <f t="shared" si="45"/>
        <v>#DIV/0!</v>
      </c>
      <c r="I592" s="132"/>
      <c r="J592" s="132"/>
      <c r="K592" s="132"/>
    </row>
    <row r="593" spans="1:11" s="75" customFormat="1" ht="31.5" hidden="1" customHeight="1" x14ac:dyDescent="0.25">
      <c r="A593" s="335" t="s">
        <v>303</v>
      </c>
      <c r="B593" s="334" t="s">
        <v>129</v>
      </c>
      <c r="C593" s="334" t="s">
        <v>129</v>
      </c>
      <c r="D593" s="334" t="s">
        <v>718</v>
      </c>
      <c r="E593" s="334" t="s">
        <v>720</v>
      </c>
      <c r="F593" s="342">
        <f>'Пр.4 Ведом23'!G1358</f>
        <v>0</v>
      </c>
      <c r="G593" s="565">
        <f>'Пр.4 Ведом23'!H1358</f>
        <v>0</v>
      </c>
      <c r="H593" s="114" t="e">
        <f t="shared" si="45"/>
        <v>#DIV/0!</v>
      </c>
      <c r="I593" s="132"/>
      <c r="J593" s="132"/>
      <c r="K593" s="132"/>
    </row>
    <row r="594" spans="1:11" s="75" customFormat="1" ht="15.75" hidden="1" customHeight="1" x14ac:dyDescent="0.25">
      <c r="A594" s="335" t="s">
        <v>92</v>
      </c>
      <c r="B594" s="334" t="s">
        <v>129</v>
      </c>
      <c r="C594" s="334" t="s">
        <v>129</v>
      </c>
      <c r="D594" s="334" t="s">
        <v>718</v>
      </c>
      <c r="E594" s="334" t="s">
        <v>98</v>
      </c>
      <c r="F594" s="342">
        <f>F595</f>
        <v>0</v>
      </c>
      <c r="G594" s="565">
        <f>G595</f>
        <v>0</v>
      </c>
      <c r="H594" s="114" t="e">
        <f t="shared" si="45"/>
        <v>#DIV/0!</v>
      </c>
      <c r="I594" s="132"/>
      <c r="J594" s="132"/>
      <c r="K594" s="132"/>
    </row>
    <row r="595" spans="1:11" s="75" customFormat="1" ht="47.25" hidden="1" customHeight="1" x14ac:dyDescent="0.25">
      <c r="A595" s="335" t="s">
        <v>110</v>
      </c>
      <c r="B595" s="334" t="s">
        <v>129</v>
      </c>
      <c r="C595" s="334" t="s">
        <v>129</v>
      </c>
      <c r="D595" s="334" t="s">
        <v>718</v>
      </c>
      <c r="E595" s="334" t="s">
        <v>105</v>
      </c>
      <c r="F595" s="342">
        <f>'Пр.4 Ведом23'!G1360</f>
        <v>0</v>
      </c>
      <c r="G595" s="565">
        <f>'Пр.4 Ведом23'!H1360</f>
        <v>0</v>
      </c>
      <c r="H595" s="114" t="e">
        <f t="shared" si="45"/>
        <v>#DIV/0!</v>
      </c>
      <c r="I595" s="132"/>
      <c r="J595" s="132"/>
      <c r="K595" s="132"/>
    </row>
    <row r="596" spans="1:11" s="131" customFormat="1" ht="47.25" x14ac:dyDescent="0.25">
      <c r="A596" s="335" t="s">
        <v>851</v>
      </c>
      <c r="B596" s="334" t="s">
        <v>129</v>
      </c>
      <c r="C596" s="334" t="s">
        <v>129</v>
      </c>
      <c r="D596" s="334" t="s">
        <v>838</v>
      </c>
      <c r="E596" s="334"/>
      <c r="F596" s="342">
        <f>F597</f>
        <v>10.172799999999995</v>
      </c>
      <c r="G596" s="565">
        <f>G597</f>
        <v>10.172800000000001</v>
      </c>
      <c r="H596" s="114">
        <f t="shared" si="45"/>
        <v>100.00000000000004</v>
      </c>
      <c r="I596" s="214"/>
      <c r="J596" s="214"/>
      <c r="K596" s="214"/>
    </row>
    <row r="597" spans="1:11" s="131" customFormat="1" ht="15.75" x14ac:dyDescent="0.25">
      <c r="A597" s="335" t="s">
        <v>92</v>
      </c>
      <c r="B597" s="334" t="s">
        <v>129</v>
      </c>
      <c r="C597" s="334" t="s">
        <v>129</v>
      </c>
      <c r="D597" s="334" t="s">
        <v>838</v>
      </c>
      <c r="E597" s="334" t="s">
        <v>98</v>
      </c>
      <c r="F597" s="342">
        <f>F598</f>
        <v>10.172799999999995</v>
      </c>
      <c r="G597" s="565">
        <f>G598</f>
        <v>10.172800000000001</v>
      </c>
      <c r="H597" s="114">
        <f t="shared" si="45"/>
        <v>100.00000000000004</v>
      </c>
      <c r="I597" s="214"/>
      <c r="J597" s="214"/>
      <c r="K597" s="214"/>
    </row>
    <row r="598" spans="1:11" s="131" customFormat="1" ht="15.75" x14ac:dyDescent="0.25">
      <c r="A598" s="335" t="s">
        <v>223</v>
      </c>
      <c r="B598" s="334" t="s">
        <v>129</v>
      </c>
      <c r="C598" s="334" t="s">
        <v>129</v>
      </c>
      <c r="D598" s="334" t="s">
        <v>838</v>
      </c>
      <c r="E598" s="334" t="s">
        <v>94</v>
      </c>
      <c r="F598" s="342">
        <f>'Пр.4 Ведом23'!G1368</f>
        <v>10.172799999999995</v>
      </c>
      <c r="G598" s="565">
        <f>'Пр.4 Ведом23'!H1368</f>
        <v>10.172800000000001</v>
      </c>
      <c r="H598" s="114">
        <f t="shared" si="45"/>
        <v>100.00000000000004</v>
      </c>
      <c r="I598" s="214"/>
      <c r="J598" s="214"/>
      <c r="K598" s="214"/>
    </row>
    <row r="599" spans="1:11" s="131" customFormat="1" ht="47.25" x14ac:dyDescent="0.25">
      <c r="A599" s="335" t="s">
        <v>1070</v>
      </c>
      <c r="B599" s="334" t="s">
        <v>129</v>
      </c>
      <c r="C599" s="334" t="s">
        <v>129</v>
      </c>
      <c r="D599" s="334" t="s">
        <v>1071</v>
      </c>
      <c r="E599" s="334"/>
      <c r="F599" s="342">
        <f>F600</f>
        <v>200</v>
      </c>
      <c r="G599" s="565">
        <f>G600</f>
        <v>200</v>
      </c>
      <c r="H599" s="114">
        <f t="shared" si="45"/>
        <v>100</v>
      </c>
      <c r="I599" s="214"/>
      <c r="J599" s="214"/>
      <c r="K599" s="214"/>
    </row>
    <row r="600" spans="1:11" s="131" customFormat="1" ht="15.75" x14ac:dyDescent="0.25">
      <c r="A600" s="335" t="s">
        <v>92</v>
      </c>
      <c r="B600" s="334" t="s">
        <v>129</v>
      </c>
      <c r="C600" s="334" t="s">
        <v>129</v>
      </c>
      <c r="D600" s="334" t="s">
        <v>1071</v>
      </c>
      <c r="E600" s="334" t="s">
        <v>98</v>
      </c>
      <c r="F600" s="342">
        <f>F601</f>
        <v>200</v>
      </c>
      <c r="G600" s="565">
        <f>G601</f>
        <v>200</v>
      </c>
      <c r="H600" s="114">
        <f t="shared" si="45"/>
        <v>100</v>
      </c>
      <c r="I600" s="214"/>
      <c r="J600" s="214"/>
      <c r="K600" s="214"/>
    </row>
    <row r="601" spans="1:11" s="131" customFormat="1" ht="15.75" x14ac:dyDescent="0.25">
      <c r="A601" s="335" t="s">
        <v>223</v>
      </c>
      <c r="B601" s="334" t="s">
        <v>129</v>
      </c>
      <c r="C601" s="334" t="s">
        <v>129</v>
      </c>
      <c r="D601" s="334" t="s">
        <v>1071</v>
      </c>
      <c r="E601" s="334" t="s">
        <v>94</v>
      </c>
      <c r="F601" s="342">
        <f>'Пр.4 Ведом23'!G1371</f>
        <v>200</v>
      </c>
      <c r="G601" s="565">
        <f>'Пр.4 Ведом23'!H1371</f>
        <v>200</v>
      </c>
      <c r="H601" s="114">
        <f t="shared" si="45"/>
        <v>100</v>
      </c>
      <c r="I601" s="214"/>
      <c r="J601" s="214"/>
      <c r="K601" s="214"/>
    </row>
    <row r="602" spans="1:11" s="75" customFormat="1" ht="47.25" hidden="1" customHeight="1" x14ac:dyDescent="0.25">
      <c r="A602" s="22" t="s">
        <v>894</v>
      </c>
      <c r="B602" s="117" t="s">
        <v>129</v>
      </c>
      <c r="C602" s="117" t="s">
        <v>129</v>
      </c>
      <c r="D602" s="117" t="s">
        <v>162</v>
      </c>
      <c r="E602" s="117"/>
      <c r="F602" s="343">
        <f t="shared" ref="F602:G605" si="46">F603</f>
        <v>0</v>
      </c>
      <c r="G602" s="566">
        <f t="shared" si="46"/>
        <v>0</v>
      </c>
      <c r="H602" s="114" t="e">
        <f t="shared" si="45"/>
        <v>#DIV/0!</v>
      </c>
      <c r="I602" s="132"/>
      <c r="J602" s="132"/>
      <c r="K602" s="132"/>
    </row>
    <row r="603" spans="1:11" s="112" customFormat="1" ht="63" hidden="1" customHeight="1" x14ac:dyDescent="0.25">
      <c r="A603" s="22" t="s">
        <v>437</v>
      </c>
      <c r="B603" s="117" t="s">
        <v>129</v>
      </c>
      <c r="C603" s="117" t="s">
        <v>129</v>
      </c>
      <c r="D603" s="117" t="s">
        <v>372</v>
      </c>
      <c r="E603" s="117"/>
      <c r="F603" s="343">
        <f t="shared" si="46"/>
        <v>0</v>
      </c>
      <c r="G603" s="566">
        <f t="shared" si="46"/>
        <v>0</v>
      </c>
      <c r="H603" s="114" t="e">
        <f t="shared" si="45"/>
        <v>#DIV/0!</v>
      </c>
      <c r="I603" s="132"/>
      <c r="J603" s="132"/>
      <c r="K603" s="132"/>
    </row>
    <row r="604" spans="1:11" s="112" customFormat="1" ht="47.25" hidden="1" customHeight="1" x14ac:dyDescent="0.25">
      <c r="A604" s="20" t="s">
        <v>493</v>
      </c>
      <c r="B604" s="334" t="s">
        <v>129</v>
      </c>
      <c r="C604" s="334" t="s">
        <v>129</v>
      </c>
      <c r="D604" s="334" t="s">
        <v>453</v>
      </c>
      <c r="E604" s="334"/>
      <c r="F604" s="342">
        <f t="shared" si="46"/>
        <v>0</v>
      </c>
      <c r="G604" s="565">
        <f t="shared" si="46"/>
        <v>0</v>
      </c>
      <c r="H604" s="114" t="e">
        <f t="shared" si="45"/>
        <v>#DIV/0!</v>
      </c>
      <c r="I604" s="132"/>
      <c r="J604" s="132"/>
      <c r="K604" s="132"/>
    </row>
    <row r="605" spans="1:11" s="112" customFormat="1" ht="31.5" hidden="1" customHeight="1" x14ac:dyDescent="0.25">
      <c r="A605" s="335" t="s">
        <v>88</v>
      </c>
      <c r="B605" s="334" t="s">
        <v>129</v>
      </c>
      <c r="C605" s="334" t="s">
        <v>129</v>
      </c>
      <c r="D605" s="334" t="s">
        <v>453</v>
      </c>
      <c r="E605" s="334" t="s">
        <v>89</v>
      </c>
      <c r="F605" s="342">
        <f t="shared" si="46"/>
        <v>0</v>
      </c>
      <c r="G605" s="565">
        <f t="shared" si="46"/>
        <v>0</v>
      </c>
      <c r="H605" s="114" t="e">
        <f t="shared" si="45"/>
        <v>#DIV/0!</v>
      </c>
      <c r="I605" s="132"/>
      <c r="J605" s="132"/>
      <c r="K605" s="132"/>
    </row>
    <row r="606" spans="1:11" s="112" customFormat="1" ht="31.5" hidden="1" customHeight="1" x14ac:dyDescent="0.25">
      <c r="A606" s="335" t="s">
        <v>90</v>
      </c>
      <c r="B606" s="334" t="s">
        <v>129</v>
      </c>
      <c r="C606" s="334" t="s">
        <v>129</v>
      </c>
      <c r="D606" s="334" t="s">
        <v>453</v>
      </c>
      <c r="E606" s="334" t="s">
        <v>91</v>
      </c>
      <c r="F606" s="342">
        <f>'Пр.4 Ведом23'!G1365</f>
        <v>0</v>
      </c>
      <c r="G606" s="565">
        <f>'Пр.4 Ведом23'!H1365</f>
        <v>0</v>
      </c>
      <c r="H606" s="114" t="e">
        <f t="shared" si="45"/>
        <v>#DIV/0!</v>
      </c>
      <c r="I606" s="132"/>
      <c r="J606" s="132"/>
      <c r="K606" s="132"/>
    </row>
    <row r="607" spans="1:11" s="112" customFormat="1" ht="15.75" hidden="1" customHeight="1" x14ac:dyDescent="0.25">
      <c r="A607" s="116" t="s">
        <v>832</v>
      </c>
      <c r="B607" s="117" t="s">
        <v>83</v>
      </c>
      <c r="C607" s="117"/>
      <c r="D607" s="117"/>
      <c r="E607" s="117"/>
      <c r="F607" s="343">
        <f t="shared" ref="F607:G612" si="47">F608</f>
        <v>0</v>
      </c>
      <c r="G607" s="566">
        <f t="shared" si="47"/>
        <v>0</v>
      </c>
      <c r="H607" s="114" t="e">
        <f t="shared" si="45"/>
        <v>#DIV/0!</v>
      </c>
      <c r="I607" s="132"/>
      <c r="J607" s="132"/>
      <c r="K607" s="132"/>
    </row>
    <row r="608" spans="1:11" s="112" customFormat="1" ht="31.5" hidden="1" customHeight="1" x14ac:dyDescent="0.25">
      <c r="A608" s="116" t="s">
        <v>833</v>
      </c>
      <c r="B608" s="117" t="s">
        <v>83</v>
      </c>
      <c r="C608" s="117" t="s">
        <v>129</v>
      </c>
      <c r="D608" s="117"/>
      <c r="E608" s="117"/>
      <c r="F608" s="343">
        <f t="shared" si="47"/>
        <v>0</v>
      </c>
      <c r="G608" s="566">
        <f t="shared" si="47"/>
        <v>0</v>
      </c>
      <c r="H608" s="114" t="e">
        <f t="shared" si="45"/>
        <v>#DIV/0!</v>
      </c>
      <c r="I608" s="132"/>
      <c r="J608" s="132"/>
      <c r="K608" s="132"/>
    </row>
    <row r="609" spans="1:11" s="112" customFormat="1" ht="63" hidden="1" customHeight="1" x14ac:dyDescent="0.25">
      <c r="A609" s="116" t="s">
        <v>872</v>
      </c>
      <c r="B609" s="117" t="s">
        <v>83</v>
      </c>
      <c r="C609" s="117" t="s">
        <v>129</v>
      </c>
      <c r="D609" s="117" t="s">
        <v>835</v>
      </c>
      <c r="E609" s="117"/>
      <c r="F609" s="343">
        <f t="shared" si="47"/>
        <v>0</v>
      </c>
      <c r="G609" s="566">
        <f t="shared" si="47"/>
        <v>0</v>
      </c>
      <c r="H609" s="114" t="e">
        <f t="shared" si="45"/>
        <v>#DIV/0!</v>
      </c>
      <c r="I609" s="132"/>
      <c r="J609" s="132"/>
      <c r="K609" s="132"/>
    </row>
    <row r="610" spans="1:11" s="112" customFormat="1" ht="47.25" hidden="1" customHeight="1" x14ac:dyDescent="0.25">
      <c r="A610" s="22" t="s">
        <v>834</v>
      </c>
      <c r="B610" s="117" t="s">
        <v>83</v>
      </c>
      <c r="C610" s="117" t="s">
        <v>129</v>
      </c>
      <c r="D610" s="117" t="s">
        <v>836</v>
      </c>
      <c r="E610" s="117"/>
      <c r="F610" s="343">
        <f t="shared" si="47"/>
        <v>0</v>
      </c>
      <c r="G610" s="566">
        <f t="shared" si="47"/>
        <v>0</v>
      </c>
      <c r="H610" s="114" t="e">
        <f t="shared" si="45"/>
        <v>#DIV/0!</v>
      </c>
      <c r="I610" s="132"/>
      <c r="J610" s="132"/>
      <c r="K610" s="132"/>
    </row>
    <row r="611" spans="1:11" s="131" customFormat="1" ht="31.5" hidden="1" customHeight="1" x14ac:dyDescent="0.25">
      <c r="A611" s="20" t="s">
        <v>818</v>
      </c>
      <c r="B611" s="334" t="s">
        <v>83</v>
      </c>
      <c r="C611" s="334" t="s">
        <v>129</v>
      </c>
      <c r="D611" s="334" t="s">
        <v>837</v>
      </c>
      <c r="E611" s="334"/>
      <c r="F611" s="342">
        <f t="shared" si="47"/>
        <v>0</v>
      </c>
      <c r="G611" s="565">
        <f t="shared" si="47"/>
        <v>0</v>
      </c>
      <c r="H611" s="114" t="e">
        <f t="shared" si="45"/>
        <v>#DIV/0!</v>
      </c>
      <c r="I611" s="132"/>
      <c r="J611" s="132"/>
      <c r="K611" s="132"/>
    </row>
    <row r="612" spans="1:11" s="131" customFormat="1" ht="31.5" hidden="1" customHeight="1" x14ac:dyDescent="0.25">
      <c r="A612" s="335" t="s">
        <v>88</v>
      </c>
      <c r="B612" s="334" t="s">
        <v>83</v>
      </c>
      <c r="C612" s="334" t="s">
        <v>129</v>
      </c>
      <c r="D612" s="334" t="s">
        <v>837</v>
      </c>
      <c r="E612" s="334" t="s">
        <v>89</v>
      </c>
      <c r="F612" s="342">
        <f t="shared" si="47"/>
        <v>0</v>
      </c>
      <c r="G612" s="565">
        <f t="shared" si="47"/>
        <v>0</v>
      </c>
      <c r="H612" s="114" t="e">
        <f t="shared" si="45"/>
        <v>#DIV/0!</v>
      </c>
      <c r="I612" s="132"/>
      <c r="J612" s="132"/>
      <c r="K612" s="132"/>
    </row>
    <row r="613" spans="1:11" s="131" customFormat="1" ht="31.5" hidden="1" customHeight="1" x14ac:dyDescent="0.25">
      <c r="A613" s="335" t="s">
        <v>90</v>
      </c>
      <c r="B613" s="334" t="s">
        <v>83</v>
      </c>
      <c r="C613" s="334" t="s">
        <v>129</v>
      </c>
      <c r="D613" s="334" t="s">
        <v>837</v>
      </c>
      <c r="E613" s="334" t="s">
        <v>91</v>
      </c>
      <c r="F613" s="342">
        <f>'Пр.4 Ведом23'!G1378</f>
        <v>0</v>
      </c>
      <c r="G613" s="565">
        <f>'Пр.4 Ведом23'!H1378</f>
        <v>0</v>
      </c>
      <c r="H613" s="114" t="e">
        <f t="shared" si="45"/>
        <v>#DIV/0!</v>
      </c>
      <c r="I613" s="132"/>
      <c r="J613" s="132"/>
      <c r="K613" s="132"/>
    </row>
    <row r="614" spans="1:11" s="131" customFormat="1" ht="15.75" x14ac:dyDescent="0.25">
      <c r="A614" s="116" t="s">
        <v>144</v>
      </c>
      <c r="B614" s="117" t="s">
        <v>145</v>
      </c>
      <c r="C614" s="117"/>
      <c r="D614" s="117"/>
      <c r="E614" s="117"/>
      <c r="F614" s="343">
        <f>F615+F663+F736+F812+F835</f>
        <v>427417.31041999999</v>
      </c>
      <c r="G614" s="566">
        <f>G615+G663+G736+G812+G835</f>
        <v>423186.00881000003</v>
      </c>
      <c r="H614" s="113">
        <f t="shared" si="45"/>
        <v>99.010030359827468</v>
      </c>
      <c r="I614" s="132"/>
      <c r="J614" s="132"/>
      <c r="K614" s="132"/>
    </row>
    <row r="615" spans="1:11" s="131" customFormat="1" ht="15.75" x14ac:dyDescent="0.25">
      <c r="A615" s="116" t="s">
        <v>188</v>
      </c>
      <c r="B615" s="117" t="s">
        <v>145</v>
      </c>
      <c r="C615" s="117" t="s">
        <v>81</v>
      </c>
      <c r="D615" s="117"/>
      <c r="E615" s="117"/>
      <c r="F615" s="343">
        <f>F616+F653+F658</f>
        <v>102792.86929999998</v>
      </c>
      <c r="G615" s="566">
        <f>G616+G653+G658</f>
        <v>101697.55085000001</v>
      </c>
      <c r="H615" s="113">
        <f t="shared" si="45"/>
        <v>98.934441214202039</v>
      </c>
      <c r="I615" s="132"/>
      <c r="J615" s="132"/>
      <c r="K615" s="132"/>
    </row>
    <row r="616" spans="1:11" s="131" customFormat="1" ht="47.25" x14ac:dyDescent="0.25">
      <c r="A616" s="116" t="s">
        <v>885</v>
      </c>
      <c r="B616" s="117" t="s">
        <v>145</v>
      </c>
      <c r="C616" s="117" t="s">
        <v>81</v>
      </c>
      <c r="D616" s="117" t="s">
        <v>189</v>
      </c>
      <c r="E616" s="117"/>
      <c r="F616" s="343">
        <f>F617+F621+F625+F635+F645+F649</f>
        <v>101545.58929999998</v>
      </c>
      <c r="G616" s="566">
        <f>G617+G621+G625+G635+G645+G649</f>
        <v>100464.95015</v>
      </c>
      <c r="H616" s="113">
        <f t="shared" si="45"/>
        <v>98.935808874172366</v>
      </c>
      <c r="I616" s="132"/>
      <c r="J616" s="132"/>
      <c r="K616" s="132"/>
    </row>
    <row r="617" spans="1:11" s="131" customFormat="1" ht="31.5" x14ac:dyDescent="0.25">
      <c r="A617" s="116" t="s">
        <v>375</v>
      </c>
      <c r="B617" s="117" t="s">
        <v>145</v>
      </c>
      <c r="C617" s="117" t="s">
        <v>81</v>
      </c>
      <c r="D617" s="117" t="s">
        <v>582</v>
      </c>
      <c r="E617" s="117"/>
      <c r="F617" s="343">
        <f t="shared" ref="F617:G619" si="48">F618</f>
        <v>17214.309999999998</v>
      </c>
      <c r="G617" s="566">
        <f t="shared" si="48"/>
        <v>16949.782999999999</v>
      </c>
      <c r="H617" s="113">
        <f t="shared" si="45"/>
        <v>98.463330798620461</v>
      </c>
      <c r="I617" s="132"/>
      <c r="J617" s="132"/>
      <c r="K617" s="132"/>
    </row>
    <row r="618" spans="1:11" s="131" customFormat="1" ht="47.25" x14ac:dyDescent="0.25">
      <c r="A618" s="335" t="s">
        <v>581</v>
      </c>
      <c r="B618" s="334" t="s">
        <v>145</v>
      </c>
      <c r="C618" s="334" t="s">
        <v>81</v>
      </c>
      <c r="D618" s="334" t="s">
        <v>583</v>
      </c>
      <c r="E618" s="334"/>
      <c r="F618" s="342">
        <f t="shared" si="48"/>
        <v>17214.309999999998</v>
      </c>
      <c r="G618" s="565">
        <f t="shared" si="48"/>
        <v>16949.782999999999</v>
      </c>
      <c r="H618" s="114">
        <f t="shared" si="45"/>
        <v>98.463330798620461</v>
      </c>
      <c r="I618" s="132"/>
      <c r="J618" s="132"/>
      <c r="K618" s="132"/>
    </row>
    <row r="619" spans="1:11" ht="31.5" x14ac:dyDescent="0.25">
      <c r="A619" s="335" t="s">
        <v>149</v>
      </c>
      <c r="B619" s="334" t="s">
        <v>145</v>
      </c>
      <c r="C619" s="334" t="s">
        <v>81</v>
      </c>
      <c r="D619" s="334" t="s">
        <v>583</v>
      </c>
      <c r="E619" s="334" t="s">
        <v>150</v>
      </c>
      <c r="F619" s="342">
        <f t="shared" si="48"/>
        <v>17214.309999999998</v>
      </c>
      <c r="G619" s="565">
        <f t="shared" si="48"/>
        <v>16949.782999999999</v>
      </c>
      <c r="H619" s="114">
        <f t="shared" si="45"/>
        <v>98.463330798620461</v>
      </c>
    </row>
    <row r="620" spans="1:11" s="75" customFormat="1" ht="15.75" x14ac:dyDescent="0.25">
      <c r="A620" s="335" t="s">
        <v>151</v>
      </c>
      <c r="B620" s="334" t="s">
        <v>145</v>
      </c>
      <c r="C620" s="334" t="s">
        <v>81</v>
      </c>
      <c r="D620" s="334" t="s">
        <v>583</v>
      </c>
      <c r="E620" s="334" t="s">
        <v>152</v>
      </c>
      <c r="F620" s="342">
        <f>'Пр.4 Ведом23'!G728</f>
        <v>17214.309999999998</v>
      </c>
      <c r="G620" s="565">
        <f>'Пр.4 Ведом23'!H728</f>
        <v>16949.782999999999</v>
      </c>
      <c r="H620" s="114">
        <f t="shared" si="45"/>
        <v>98.463330798620461</v>
      </c>
      <c r="I620" s="132"/>
      <c r="J620" s="132"/>
      <c r="K620" s="132"/>
    </row>
    <row r="621" spans="1:11" ht="47.25" x14ac:dyDescent="0.25">
      <c r="A621" s="116" t="s">
        <v>349</v>
      </c>
      <c r="B621" s="117" t="s">
        <v>145</v>
      </c>
      <c r="C621" s="117" t="s">
        <v>81</v>
      </c>
      <c r="D621" s="117" t="s">
        <v>584</v>
      </c>
      <c r="E621" s="117"/>
      <c r="F621" s="343">
        <f t="shared" ref="F621:G623" si="49">F622</f>
        <v>75261.147999999986</v>
      </c>
      <c r="G621" s="566">
        <f t="shared" si="49"/>
        <v>74608.226809999993</v>
      </c>
      <c r="H621" s="113">
        <f t="shared" si="45"/>
        <v>99.132459167378101</v>
      </c>
    </row>
    <row r="622" spans="1:11" ht="47.25" x14ac:dyDescent="0.25">
      <c r="A622" s="335" t="s">
        <v>852</v>
      </c>
      <c r="B622" s="334" t="s">
        <v>145</v>
      </c>
      <c r="C622" s="334" t="s">
        <v>81</v>
      </c>
      <c r="D622" s="334" t="s">
        <v>763</v>
      </c>
      <c r="E622" s="334"/>
      <c r="F622" s="342">
        <f t="shared" si="49"/>
        <v>75261.147999999986</v>
      </c>
      <c r="G622" s="565">
        <f t="shared" si="49"/>
        <v>74608.226809999993</v>
      </c>
      <c r="H622" s="114">
        <f t="shared" si="45"/>
        <v>99.132459167378101</v>
      </c>
    </row>
    <row r="623" spans="1:11" ht="31.5" x14ac:dyDescent="0.25">
      <c r="A623" s="335" t="s">
        <v>149</v>
      </c>
      <c r="B623" s="334" t="s">
        <v>145</v>
      </c>
      <c r="C623" s="334" t="s">
        <v>81</v>
      </c>
      <c r="D623" s="334" t="s">
        <v>763</v>
      </c>
      <c r="E623" s="334" t="s">
        <v>150</v>
      </c>
      <c r="F623" s="342">
        <f t="shared" si="49"/>
        <v>75261.147999999986</v>
      </c>
      <c r="G623" s="565">
        <f t="shared" si="49"/>
        <v>74608.226809999993</v>
      </c>
      <c r="H623" s="114">
        <f t="shared" si="45"/>
        <v>99.132459167378101</v>
      </c>
    </row>
    <row r="624" spans="1:11" s="69" customFormat="1" ht="15.75" x14ac:dyDescent="0.25">
      <c r="A624" s="335" t="s">
        <v>151</v>
      </c>
      <c r="B624" s="334" t="s">
        <v>145</v>
      </c>
      <c r="C624" s="334" t="s">
        <v>81</v>
      </c>
      <c r="D624" s="334" t="s">
        <v>763</v>
      </c>
      <c r="E624" s="334" t="s">
        <v>152</v>
      </c>
      <c r="F624" s="342">
        <f>'Пр.4 Ведом23'!G732</f>
        <v>75261.147999999986</v>
      </c>
      <c r="G624" s="565">
        <f>'Пр.4 Ведом23'!H732</f>
        <v>74608.226809999993</v>
      </c>
      <c r="H624" s="114">
        <f t="shared" si="45"/>
        <v>99.132459167378101</v>
      </c>
      <c r="I624" s="78"/>
      <c r="J624" s="78"/>
      <c r="K624" s="78"/>
    </row>
    <row r="625" spans="1:11" s="59" customFormat="1" ht="31.5" x14ac:dyDescent="0.25">
      <c r="A625" s="116" t="s">
        <v>595</v>
      </c>
      <c r="B625" s="117" t="s">
        <v>145</v>
      </c>
      <c r="C625" s="117" t="s">
        <v>81</v>
      </c>
      <c r="D625" s="117" t="s">
        <v>586</v>
      </c>
      <c r="E625" s="117"/>
      <c r="F625" s="343">
        <f>F626+F629+F632</f>
        <v>5366.5420300000005</v>
      </c>
      <c r="G625" s="566">
        <f>G626+G629+G632</f>
        <v>5257.9536799999996</v>
      </c>
      <c r="H625" s="113">
        <f t="shared" si="45"/>
        <v>97.976567603626862</v>
      </c>
      <c r="I625" s="77"/>
      <c r="J625" s="77"/>
      <c r="K625" s="77"/>
    </row>
    <row r="626" spans="1:11" s="112" customFormat="1" ht="31.5" x14ac:dyDescent="0.25">
      <c r="A626" s="335" t="s">
        <v>153</v>
      </c>
      <c r="B626" s="334" t="s">
        <v>145</v>
      </c>
      <c r="C626" s="334" t="s">
        <v>81</v>
      </c>
      <c r="D626" s="334" t="s">
        <v>631</v>
      </c>
      <c r="E626" s="334"/>
      <c r="F626" s="342">
        <f>F627</f>
        <v>1470.683</v>
      </c>
      <c r="G626" s="565">
        <f>G627</f>
        <v>1470.6823400000001</v>
      </c>
      <c r="H626" s="114">
        <f t="shared" si="45"/>
        <v>99.999955122891876</v>
      </c>
      <c r="I626" s="132"/>
      <c r="J626" s="132"/>
      <c r="K626" s="132"/>
    </row>
    <row r="627" spans="1:11" s="112" customFormat="1" ht="31.5" x14ac:dyDescent="0.25">
      <c r="A627" s="335" t="s">
        <v>149</v>
      </c>
      <c r="B627" s="334" t="s">
        <v>145</v>
      </c>
      <c r="C627" s="334" t="s">
        <v>81</v>
      </c>
      <c r="D627" s="334" t="s">
        <v>631</v>
      </c>
      <c r="E627" s="334" t="s">
        <v>150</v>
      </c>
      <c r="F627" s="342">
        <f>F628</f>
        <v>1470.683</v>
      </c>
      <c r="G627" s="565">
        <f>G628</f>
        <v>1470.6823400000001</v>
      </c>
      <c r="H627" s="114">
        <f t="shared" si="45"/>
        <v>99.999955122891876</v>
      </c>
      <c r="I627" s="132"/>
      <c r="J627" s="132"/>
      <c r="K627" s="132"/>
    </row>
    <row r="628" spans="1:11" s="131" customFormat="1" ht="15.75" x14ac:dyDescent="0.25">
      <c r="A628" s="335" t="s">
        <v>151</v>
      </c>
      <c r="B628" s="334" t="s">
        <v>145</v>
      </c>
      <c r="C628" s="334" t="s">
        <v>81</v>
      </c>
      <c r="D628" s="334" t="s">
        <v>631</v>
      </c>
      <c r="E628" s="334" t="s">
        <v>152</v>
      </c>
      <c r="F628" s="342">
        <f>'Пр.4 Ведом23'!G736</f>
        <v>1470.683</v>
      </c>
      <c r="G628" s="565">
        <f>'Пр.4 Ведом23'!H736</f>
        <v>1470.6823400000001</v>
      </c>
      <c r="H628" s="114">
        <f t="shared" si="45"/>
        <v>99.999955122891876</v>
      </c>
      <c r="I628" s="132"/>
      <c r="J628" s="132"/>
      <c r="K628" s="132"/>
    </row>
    <row r="629" spans="1:11" s="131" customFormat="1" ht="31.5" hidden="1" customHeight="1" x14ac:dyDescent="0.25">
      <c r="A629" s="335" t="s">
        <v>855</v>
      </c>
      <c r="B629" s="334" t="s">
        <v>145</v>
      </c>
      <c r="C629" s="334" t="s">
        <v>81</v>
      </c>
      <c r="D629" s="334" t="s">
        <v>632</v>
      </c>
      <c r="E629" s="334"/>
      <c r="F629" s="342">
        <f>F630</f>
        <v>0</v>
      </c>
      <c r="G629" s="565">
        <f>G630</f>
        <v>0</v>
      </c>
      <c r="H629" s="114" t="e">
        <f t="shared" si="45"/>
        <v>#DIV/0!</v>
      </c>
      <c r="I629" s="132"/>
      <c r="J629" s="132"/>
      <c r="K629" s="132"/>
    </row>
    <row r="630" spans="1:11" s="131" customFormat="1" ht="31.5" hidden="1" customHeight="1" x14ac:dyDescent="0.25">
      <c r="A630" s="335" t="s">
        <v>149</v>
      </c>
      <c r="B630" s="334" t="s">
        <v>145</v>
      </c>
      <c r="C630" s="334" t="s">
        <v>81</v>
      </c>
      <c r="D630" s="334" t="s">
        <v>632</v>
      </c>
      <c r="E630" s="334" t="s">
        <v>150</v>
      </c>
      <c r="F630" s="342">
        <f>F631</f>
        <v>0</v>
      </c>
      <c r="G630" s="565">
        <f>G631</f>
        <v>0</v>
      </c>
      <c r="H630" s="114" t="e">
        <f t="shared" si="45"/>
        <v>#DIV/0!</v>
      </c>
      <c r="I630" s="132"/>
      <c r="J630" s="132"/>
      <c r="K630" s="132"/>
    </row>
    <row r="631" spans="1:11" ht="15.75" hidden="1" customHeight="1" x14ac:dyDescent="0.25">
      <c r="A631" s="335" t="s">
        <v>151</v>
      </c>
      <c r="B631" s="334" t="s">
        <v>145</v>
      </c>
      <c r="C631" s="334" t="s">
        <v>81</v>
      </c>
      <c r="D631" s="334" t="s">
        <v>632</v>
      </c>
      <c r="E631" s="334" t="s">
        <v>152</v>
      </c>
      <c r="F631" s="342">
        <f>'Пр.4 Ведом23'!G739</f>
        <v>0</v>
      </c>
      <c r="G631" s="565">
        <f>'Пр.4 Ведом23'!H739</f>
        <v>0</v>
      </c>
      <c r="H631" s="114" t="e">
        <f t="shared" si="45"/>
        <v>#DIV/0!</v>
      </c>
    </row>
    <row r="632" spans="1:11" ht="31.5" x14ac:dyDescent="0.25">
      <c r="A632" s="19" t="s">
        <v>858</v>
      </c>
      <c r="B632" s="334" t="s">
        <v>145</v>
      </c>
      <c r="C632" s="334" t="s">
        <v>81</v>
      </c>
      <c r="D632" s="334" t="s">
        <v>587</v>
      </c>
      <c r="E632" s="334"/>
      <c r="F632" s="342">
        <f>F633</f>
        <v>3895.8590300000005</v>
      </c>
      <c r="G632" s="565">
        <f>G633</f>
        <v>3787.2713399999998</v>
      </c>
      <c r="H632" s="114">
        <f t="shared" si="45"/>
        <v>97.21274078030487</v>
      </c>
    </row>
    <row r="633" spans="1:11" ht="31.5" x14ac:dyDescent="0.25">
      <c r="A633" s="335" t="s">
        <v>149</v>
      </c>
      <c r="B633" s="334" t="s">
        <v>145</v>
      </c>
      <c r="C633" s="334" t="s">
        <v>81</v>
      </c>
      <c r="D633" s="334" t="s">
        <v>587</v>
      </c>
      <c r="E633" s="334" t="s">
        <v>150</v>
      </c>
      <c r="F633" s="342">
        <f>F634</f>
        <v>3895.8590300000005</v>
      </c>
      <c r="G633" s="565">
        <f>G634</f>
        <v>3787.2713399999998</v>
      </c>
      <c r="H633" s="114">
        <f t="shared" si="45"/>
        <v>97.21274078030487</v>
      </c>
    </row>
    <row r="634" spans="1:11" ht="15.75" x14ac:dyDescent="0.25">
      <c r="A634" s="335" t="s">
        <v>151</v>
      </c>
      <c r="B634" s="334" t="s">
        <v>145</v>
      </c>
      <c r="C634" s="334" t="s">
        <v>81</v>
      </c>
      <c r="D634" s="334" t="s">
        <v>587</v>
      </c>
      <c r="E634" s="334" t="s">
        <v>152</v>
      </c>
      <c r="F634" s="342">
        <f>'Пр.4 Ведом23'!G742</f>
        <v>3895.8590300000005</v>
      </c>
      <c r="G634" s="565">
        <f>'Пр.4 Ведом23'!H742</f>
        <v>3787.2713399999998</v>
      </c>
      <c r="H634" s="114">
        <f t="shared" si="45"/>
        <v>97.21274078030487</v>
      </c>
    </row>
    <row r="635" spans="1:11" ht="31.5" x14ac:dyDescent="0.25">
      <c r="A635" s="80" t="s">
        <v>381</v>
      </c>
      <c r="B635" s="117" t="s">
        <v>145</v>
      </c>
      <c r="C635" s="117" t="s">
        <v>81</v>
      </c>
      <c r="D635" s="117" t="s">
        <v>589</v>
      </c>
      <c r="E635" s="117"/>
      <c r="F635" s="305">
        <f>F636+F639+F642</f>
        <v>2600.0997699999998</v>
      </c>
      <c r="G635" s="305">
        <f>G636+G639+G642</f>
        <v>2551.6911599999999</v>
      </c>
      <c r="H635" s="113">
        <f t="shared" si="45"/>
        <v>98.138201827539874</v>
      </c>
    </row>
    <row r="636" spans="1:11" ht="31.5" customHeight="1" x14ac:dyDescent="0.25">
      <c r="A636" s="335" t="s">
        <v>155</v>
      </c>
      <c r="B636" s="334" t="s">
        <v>145</v>
      </c>
      <c r="C636" s="334" t="s">
        <v>81</v>
      </c>
      <c r="D636" s="334" t="s">
        <v>597</v>
      </c>
      <c r="E636" s="334"/>
      <c r="F636" s="303">
        <f>F637</f>
        <v>94.49</v>
      </c>
      <c r="G636" s="303">
        <f>G637</f>
        <v>94.49</v>
      </c>
      <c r="H636" s="114">
        <f t="shared" si="45"/>
        <v>100</v>
      </c>
    </row>
    <row r="637" spans="1:11" ht="31.5" customHeight="1" x14ac:dyDescent="0.25">
      <c r="A637" s="335" t="s">
        <v>149</v>
      </c>
      <c r="B637" s="334" t="s">
        <v>145</v>
      </c>
      <c r="C637" s="334" t="s">
        <v>81</v>
      </c>
      <c r="D637" s="334" t="s">
        <v>597</v>
      </c>
      <c r="E637" s="334" t="s">
        <v>150</v>
      </c>
      <c r="F637" s="303">
        <f>F638</f>
        <v>94.49</v>
      </c>
      <c r="G637" s="303">
        <f>G638</f>
        <v>94.49</v>
      </c>
      <c r="H637" s="114">
        <f t="shared" si="45"/>
        <v>100</v>
      </c>
    </row>
    <row r="638" spans="1:11" ht="15.75" customHeight="1" x14ac:dyDescent="0.25">
      <c r="A638" s="335" t="s">
        <v>151</v>
      </c>
      <c r="B638" s="334" t="s">
        <v>145</v>
      </c>
      <c r="C638" s="334" t="s">
        <v>81</v>
      </c>
      <c r="D638" s="334" t="s">
        <v>597</v>
      </c>
      <c r="E638" s="334" t="s">
        <v>152</v>
      </c>
      <c r="F638" s="303">
        <f>'Пр.4 Ведом23'!G746</f>
        <v>94.49</v>
      </c>
      <c r="G638" s="303">
        <f>'Пр.4 Ведом23'!H746</f>
        <v>94.49</v>
      </c>
      <c r="H638" s="114">
        <f t="shared" si="45"/>
        <v>100</v>
      </c>
    </row>
    <row r="639" spans="1:11" ht="31.5" x14ac:dyDescent="0.25">
      <c r="A639" s="32" t="s">
        <v>261</v>
      </c>
      <c r="B639" s="334" t="s">
        <v>145</v>
      </c>
      <c r="C639" s="334" t="s">
        <v>81</v>
      </c>
      <c r="D639" s="334" t="s">
        <v>590</v>
      </c>
      <c r="E639" s="334"/>
      <c r="F639" s="303">
        <f>F640</f>
        <v>2130.0617700000003</v>
      </c>
      <c r="G639" s="303">
        <f>G640</f>
        <v>2117.0628700000002</v>
      </c>
      <c r="H639" s="114">
        <f t="shared" si="45"/>
        <v>99.389740702214468</v>
      </c>
    </row>
    <row r="640" spans="1:11" ht="31.5" x14ac:dyDescent="0.25">
      <c r="A640" s="19" t="s">
        <v>149</v>
      </c>
      <c r="B640" s="334" t="s">
        <v>145</v>
      </c>
      <c r="C640" s="334" t="s">
        <v>81</v>
      </c>
      <c r="D640" s="334" t="s">
        <v>590</v>
      </c>
      <c r="E640" s="334" t="s">
        <v>150</v>
      </c>
      <c r="F640" s="303">
        <f>F641</f>
        <v>2130.0617700000003</v>
      </c>
      <c r="G640" s="303">
        <f>G641</f>
        <v>2117.0628700000002</v>
      </c>
      <c r="H640" s="114">
        <f t="shared" si="45"/>
        <v>99.389740702214468</v>
      </c>
    </row>
    <row r="641" spans="1:11" s="131" customFormat="1" ht="15.75" x14ac:dyDescent="0.25">
      <c r="A641" s="68" t="s">
        <v>151</v>
      </c>
      <c r="B641" s="334" t="s">
        <v>145</v>
      </c>
      <c r="C641" s="334" t="s">
        <v>81</v>
      </c>
      <c r="D641" s="334" t="s">
        <v>590</v>
      </c>
      <c r="E641" s="334" t="s">
        <v>152</v>
      </c>
      <c r="F641" s="303">
        <f>'Пр.4 Ведом23'!G749</f>
        <v>2130.0617700000003</v>
      </c>
      <c r="G641" s="303">
        <f>'Пр.4 Ведом23'!H749</f>
        <v>2117.0628700000002</v>
      </c>
      <c r="H641" s="114">
        <f t="shared" si="45"/>
        <v>99.389740702214468</v>
      </c>
      <c r="I641" s="132"/>
      <c r="J641" s="132"/>
      <c r="K641" s="132"/>
    </row>
    <row r="642" spans="1:11" s="131" customFormat="1" ht="47.25" x14ac:dyDescent="0.25">
      <c r="A642" s="32" t="s">
        <v>262</v>
      </c>
      <c r="B642" s="334" t="s">
        <v>145</v>
      </c>
      <c r="C642" s="334" t="s">
        <v>81</v>
      </c>
      <c r="D642" s="334" t="s">
        <v>591</v>
      </c>
      <c r="E642" s="334"/>
      <c r="F642" s="303">
        <f>F643</f>
        <v>375.548</v>
      </c>
      <c r="G642" s="303">
        <f>G643</f>
        <v>340.13828999999998</v>
      </c>
      <c r="H642" s="114">
        <f t="shared" si="45"/>
        <v>90.571189302033289</v>
      </c>
      <c r="I642" s="132"/>
      <c r="J642" s="132"/>
      <c r="K642" s="132"/>
    </row>
    <row r="643" spans="1:11" s="131" customFormat="1" ht="31.5" x14ac:dyDescent="0.25">
      <c r="A643" s="19" t="s">
        <v>149</v>
      </c>
      <c r="B643" s="334" t="s">
        <v>145</v>
      </c>
      <c r="C643" s="334" t="s">
        <v>81</v>
      </c>
      <c r="D643" s="334" t="s">
        <v>591</v>
      </c>
      <c r="E643" s="334" t="s">
        <v>150</v>
      </c>
      <c r="F643" s="303">
        <f>F644</f>
        <v>375.548</v>
      </c>
      <c r="G643" s="303">
        <f>G644</f>
        <v>340.13828999999998</v>
      </c>
      <c r="H643" s="114">
        <f t="shared" si="45"/>
        <v>90.571189302033289</v>
      </c>
      <c r="I643" s="132"/>
      <c r="J643" s="132"/>
      <c r="K643" s="132"/>
    </row>
    <row r="644" spans="1:11" s="75" customFormat="1" ht="15.75" x14ac:dyDescent="0.25">
      <c r="A644" s="68" t="s">
        <v>151</v>
      </c>
      <c r="B644" s="334" t="s">
        <v>145</v>
      </c>
      <c r="C644" s="334" t="s">
        <v>81</v>
      </c>
      <c r="D644" s="334" t="s">
        <v>591</v>
      </c>
      <c r="E644" s="334" t="s">
        <v>152</v>
      </c>
      <c r="F644" s="303">
        <f>'Пр.4 Ведом23'!G752</f>
        <v>375.548</v>
      </c>
      <c r="G644" s="303">
        <f>'Пр.4 Ведом23'!H752</f>
        <v>340.13828999999998</v>
      </c>
      <c r="H644" s="114">
        <f t="shared" si="45"/>
        <v>90.571189302033289</v>
      </c>
      <c r="I644" s="132"/>
      <c r="J644" s="132"/>
      <c r="K644" s="132"/>
    </row>
    <row r="645" spans="1:11" s="75" customFormat="1" ht="31.5" x14ac:dyDescent="0.25">
      <c r="A645" s="116" t="s">
        <v>737</v>
      </c>
      <c r="B645" s="117" t="s">
        <v>145</v>
      </c>
      <c r="C645" s="117" t="s">
        <v>81</v>
      </c>
      <c r="D645" s="117" t="s">
        <v>592</v>
      </c>
      <c r="E645" s="117"/>
      <c r="F645" s="305">
        <f t="shared" ref="F645:G647" si="50">F646</f>
        <v>398.4</v>
      </c>
      <c r="G645" s="305">
        <f t="shared" si="50"/>
        <v>393.07080000000002</v>
      </c>
      <c r="H645" s="113">
        <f t="shared" si="45"/>
        <v>98.662349397590376</v>
      </c>
      <c r="I645" s="132"/>
      <c r="J645" s="132"/>
      <c r="K645" s="132"/>
    </row>
    <row r="646" spans="1:11" s="75" customFormat="1" ht="31.5" x14ac:dyDescent="0.25">
      <c r="A646" s="335" t="s">
        <v>738</v>
      </c>
      <c r="B646" s="334" t="s">
        <v>145</v>
      </c>
      <c r="C646" s="334" t="s">
        <v>81</v>
      </c>
      <c r="D646" s="334" t="s">
        <v>739</v>
      </c>
      <c r="E646" s="334"/>
      <c r="F646" s="303">
        <f t="shared" si="50"/>
        <v>398.4</v>
      </c>
      <c r="G646" s="303">
        <f t="shared" si="50"/>
        <v>393.07080000000002</v>
      </c>
      <c r="H646" s="114">
        <f t="shared" si="45"/>
        <v>98.662349397590376</v>
      </c>
      <c r="I646" s="132"/>
      <c r="J646" s="132"/>
      <c r="K646" s="132"/>
    </row>
    <row r="647" spans="1:11" s="131" customFormat="1" ht="31.5" x14ac:dyDescent="0.25">
      <c r="A647" s="19" t="s">
        <v>149</v>
      </c>
      <c r="B647" s="334" t="s">
        <v>145</v>
      </c>
      <c r="C647" s="334" t="s">
        <v>81</v>
      </c>
      <c r="D647" s="334" t="s">
        <v>739</v>
      </c>
      <c r="E647" s="334" t="s">
        <v>150</v>
      </c>
      <c r="F647" s="303">
        <f t="shared" si="50"/>
        <v>398.4</v>
      </c>
      <c r="G647" s="303">
        <f t="shared" si="50"/>
        <v>393.07080000000002</v>
      </c>
      <c r="H647" s="114">
        <f t="shared" si="45"/>
        <v>98.662349397590376</v>
      </c>
      <c r="I647" s="132"/>
      <c r="J647" s="132"/>
      <c r="K647" s="132"/>
    </row>
    <row r="648" spans="1:11" s="131" customFormat="1" ht="15.75" x14ac:dyDescent="0.25">
      <c r="A648" s="68" t="s">
        <v>151</v>
      </c>
      <c r="B648" s="334" t="s">
        <v>145</v>
      </c>
      <c r="C648" s="334" t="s">
        <v>81</v>
      </c>
      <c r="D648" s="334" t="s">
        <v>739</v>
      </c>
      <c r="E648" s="334" t="s">
        <v>152</v>
      </c>
      <c r="F648" s="303">
        <f>'Пр.4 Ведом23'!G756</f>
        <v>398.4</v>
      </c>
      <c r="G648" s="303">
        <f>'Пр.4 Ведом23'!H756</f>
        <v>393.07080000000002</v>
      </c>
      <c r="H648" s="114">
        <f t="shared" si="45"/>
        <v>98.662349397590376</v>
      </c>
      <c r="I648" s="132"/>
      <c r="J648" s="132"/>
      <c r="K648" s="132"/>
    </row>
    <row r="649" spans="1:11" s="131" customFormat="1" ht="94.5" x14ac:dyDescent="0.25">
      <c r="A649" s="116" t="s">
        <v>548</v>
      </c>
      <c r="B649" s="117" t="s">
        <v>145</v>
      </c>
      <c r="C649" s="117" t="s">
        <v>81</v>
      </c>
      <c r="D649" s="117" t="s">
        <v>991</v>
      </c>
      <c r="E649" s="117"/>
      <c r="F649" s="305">
        <f t="shared" ref="F649:G651" si="51">F650</f>
        <v>705.08950000000004</v>
      </c>
      <c r="G649" s="305">
        <f t="shared" si="51"/>
        <v>704.22469999999998</v>
      </c>
      <c r="H649" s="113">
        <f t="shared" si="45"/>
        <v>99.877348903933466</v>
      </c>
      <c r="I649" s="132"/>
      <c r="J649" s="132"/>
      <c r="K649" s="132"/>
    </row>
    <row r="650" spans="1:11" s="131" customFormat="1" ht="94.5" x14ac:dyDescent="0.25">
      <c r="A650" s="63" t="s">
        <v>675</v>
      </c>
      <c r="B650" s="334" t="s">
        <v>145</v>
      </c>
      <c r="C650" s="334" t="s">
        <v>81</v>
      </c>
      <c r="D650" s="334" t="s">
        <v>992</v>
      </c>
      <c r="E650" s="334"/>
      <c r="F650" s="303">
        <f t="shared" si="51"/>
        <v>705.08950000000004</v>
      </c>
      <c r="G650" s="303">
        <f t="shared" si="51"/>
        <v>704.22469999999998</v>
      </c>
      <c r="H650" s="114">
        <f t="shared" si="45"/>
        <v>99.877348903933466</v>
      </c>
      <c r="I650" s="132"/>
      <c r="J650" s="132"/>
      <c r="K650" s="132"/>
    </row>
    <row r="651" spans="1:11" s="131" customFormat="1" ht="31.5" x14ac:dyDescent="0.25">
      <c r="A651" s="335" t="s">
        <v>149</v>
      </c>
      <c r="B651" s="334" t="s">
        <v>145</v>
      </c>
      <c r="C651" s="334" t="s">
        <v>81</v>
      </c>
      <c r="D651" s="334" t="s">
        <v>992</v>
      </c>
      <c r="E651" s="334" t="s">
        <v>150</v>
      </c>
      <c r="F651" s="303">
        <f t="shared" si="51"/>
        <v>705.08950000000004</v>
      </c>
      <c r="G651" s="303">
        <f t="shared" si="51"/>
        <v>704.22469999999998</v>
      </c>
      <c r="H651" s="114">
        <f t="shared" ref="H651:H714" si="52">G651/F651*100</f>
        <v>99.877348903933466</v>
      </c>
      <c r="I651" s="132"/>
      <c r="J651" s="132"/>
      <c r="K651" s="132"/>
    </row>
    <row r="652" spans="1:11" s="131" customFormat="1" ht="15.75" x14ac:dyDescent="0.25">
      <c r="A652" s="335" t="s">
        <v>151</v>
      </c>
      <c r="B652" s="334" t="s">
        <v>145</v>
      </c>
      <c r="C652" s="334" t="s">
        <v>81</v>
      </c>
      <c r="D652" s="334" t="s">
        <v>992</v>
      </c>
      <c r="E652" s="334" t="s">
        <v>152</v>
      </c>
      <c r="F652" s="303">
        <f>'Пр.4 Ведом23'!G760</f>
        <v>705.08950000000004</v>
      </c>
      <c r="G652" s="303">
        <f>'Пр.4 Ведом23'!H760</f>
        <v>704.22469999999998</v>
      </c>
      <c r="H652" s="114">
        <f t="shared" si="52"/>
        <v>99.877348903933466</v>
      </c>
      <c r="I652" s="132"/>
      <c r="J652" s="132"/>
      <c r="K652" s="132"/>
    </row>
    <row r="653" spans="1:11" s="131" customFormat="1" ht="47.25" x14ac:dyDescent="0.25">
      <c r="A653" s="22" t="s">
        <v>894</v>
      </c>
      <c r="B653" s="117" t="s">
        <v>145</v>
      </c>
      <c r="C653" s="117" t="s">
        <v>81</v>
      </c>
      <c r="D653" s="117" t="s">
        <v>162</v>
      </c>
      <c r="E653" s="117"/>
      <c r="F653" s="343">
        <f t="shared" ref="F653:G656" si="53">F654</f>
        <v>25</v>
      </c>
      <c r="G653" s="566">
        <f t="shared" si="53"/>
        <v>24.997</v>
      </c>
      <c r="H653" s="113">
        <f t="shared" si="52"/>
        <v>99.988</v>
      </c>
      <c r="I653" s="132"/>
      <c r="J653" s="132"/>
      <c r="K653" s="132"/>
    </row>
    <row r="654" spans="1:11" s="131" customFormat="1" ht="63" x14ac:dyDescent="0.25">
      <c r="A654" s="22" t="s">
        <v>437</v>
      </c>
      <c r="B654" s="117" t="s">
        <v>145</v>
      </c>
      <c r="C654" s="117" t="s">
        <v>81</v>
      </c>
      <c r="D654" s="117" t="s">
        <v>372</v>
      </c>
      <c r="E654" s="117"/>
      <c r="F654" s="343">
        <f t="shared" si="53"/>
        <v>25</v>
      </c>
      <c r="G654" s="566">
        <f t="shared" si="53"/>
        <v>24.997</v>
      </c>
      <c r="H654" s="113">
        <f t="shared" si="52"/>
        <v>99.988</v>
      </c>
      <c r="I654" s="132"/>
      <c r="J654" s="132"/>
      <c r="K654" s="132"/>
    </row>
    <row r="655" spans="1:11" s="131" customFormat="1" ht="47.25" x14ac:dyDescent="0.25">
      <c r="A655" s="20" t="s">
        <v>494</v>
      </c>
      <c r="B655" s="334" t="s">
        <v>145</v>
      </c>
      <c r="C655" s="334" t="s">
        <v>81</v>
      </c>
      <c r="D655" s="334" t="s">
        <v>373</v>
      </c>
      <c r="E655" s="334"/>
      <c r="F655" s="342">
        <f t="shared" si="53"/>
        <v>25</v>
      </c>
      <c r="G655" s="565">
        <f t="shared" si="53"/>
        <v>24.997</v>
      </c>
      <c r="H655" s="114">
        <f t="shared" si="52"/>
        <v>99.988</v>
      </c>
      <c r="I655" s="132"/>
      <c r="J655" s="132"/>
      <c r="K655" s="132"/>
    </row>
    <row r="656" spans="1:11" s="131" customFormat="1" ht="31.5" x14ac:dyDescent="0.25">
      <c r="A656" s="20" t="s">
        <v>149</v>
      </c>
      <c r="B656" s="334" t="s">
        <v>145</v>
      </c>
      <c r="C656" s="334" t="s">
        <v>81</v>
      </c>
      <c r="D656" s="334" t="s">
        <v>373</v>
      </c>
      <c r="E656" s="334" t="s">
        <v>150</v>
      </c>
      <c r="F656" s="342">
        <f t="shared" si="53"/>
        <v>25</v>
      </c>
      <c r="G656" s="565">
        <f t="shared" si="53"/>
        <v>24.997</v>
      </c>
      <c r="H656" s="114">
        <f t="shared" si="52"/>
        <v>99.988</v>
      </c>
      <c r="I656" s="132"/>
      <c r="J656" s="132"/>
      <c r="K656" s="132"/>
    </row>
    <row r="657" spans="1:11" ht="15.75" x14ac:dyDescent="0.25">
      <c r="A657" s="20" t="s">
        <v>151</v>
      </c>
      <c r="B657" s="334" t="s">
        <v>145</v>
      </c>
      <c r="C657" s="334" t="s">
        <v>81</v>
      </c>
      <c r="D657" s="334" t="s">
        <v>373</v>
      </c>
      <c r="E657" s="334" t="s">
        <v>152</v>
      </c>
      <c r="F657" s="303">
        <f>'Пр.4 Ведом23'!G765</f>
        <v>25</v>
      </c>
      <c r="G657" s="303">
        <f>'Пр.4 Ведом23'!H765</f>
        <v>24.997</v>
      </c>
      <c r="H657" s="114">
        <f t="shared" si="52"/>
        <v>99.988</v>
      </c>
    </row>
    <row r="658" spans="1:11" ht="47.25" x14ac:dyDescent="0.25">
      <c r="A658" s="130" t="s">
        <v>853</v>
      </c>
      <c r="B658" s="117" t="s">
        <v>145</v>
      </c>
      <c r="C658" s="117" t="s">
        <v>81</v>
      </c>
      <c r="D658" s="117" t="s">
        <v>259</v>
      </c>
      <c r="E658" s="119"/>
      <c r="F658" s="305">
        <f t="shared" ref="F658:G661" si="54">F659</f>
        <v>1222.2800000000002</v>
      </c>
      <c r="G658" s="305">
        <f t="shared" si="54"/>
        <v>1207.6036999999999</v>
      </c>
      <c r="H658" s="113">
        <f t="shared" si="52"/>
        <v>98.799268580030741</v>
      </c>
    </row>
    <row r="659" spans="1:11" s="75" customFormat="1" ht="47.25" x14ac:dyDescent="0.25">
      <c r="A659" s="130" t="s">
        <v>341</v>
      </c>
      <c r="B659" s="117" t="s">
        <v>145</v>
      </c>
      <c r="C659" s="117" t="s">
        <v>81</v>
      </c>
      <c r="D659" s="117" t="s">
        <v>339</v>
      </c>
      <c r="E659" s="119"/>
      <c r="F659" s="305">
        <f t="shared" si="54"/>
        <v>1222.2800000000002</v>
      </c>
      <c r="G659" s="305">
        <f t="shared" si="54"/>
        <v>1207.6036999999999</v>
      </c>
      <c r="H659" s="113">
        <f t="shared" si="52"/>
        <v>98.799268580030741</v>
      </c>
      <c r="I659" s="132"/>
      <c r="J659" s="132"/>
      <c r="K659" s="132"/>
    </row>
    <row r="660" spans="1:11" s="75" customFormat="1" ht="47.25" x14ac:dyDescent="0.25">
      <c r="A660" s="26" t="s">
        <v>274</v>
      </c>
      <c r="B660" s="334" t="s">
        <v>145</v>
      </c>
      <c r="C660" s="334" t="s">
        <v>81</v>
      </c>
      <c r="D660" s="334" t="s">
        <v>374</v>
      </c>
      <c r="E660" s="118"/>
      <c r="F660" s="303">
        <f t="shared" si="54"/>
        <v>1222.2800000000002</v>
      </c>
      <c r="G660" s="303">
        <f t="shared" si="54"/>
        <v>1207.6036999999999</v>
      </c>
      <c r="H660" s="114">
        <f t="shared" si="52"/>
        <v>98.799268580030741</v>
      </c>
      <c r="I660" s="132"/>
      <c r="J660" s="132"/>
      <c r="K660" s="132"/>
    </row>
    <row r="661" spans="1:11" ht="31.5" x14ac:dyDescent="0.25">
      <c r="A661" s="19" t="s">
        <v>149</v>
      </c>
      <c r="B661" s="334" t="s">
        <v>145</v>
      </c>
      <c r="C661" s="334" t="s">
        <v>81</v>
      </c>
      <c r="D661" s="334" t="s">
        <v>374</v>
      </c>
      <c r="E661" s="118" t="s">
        <v>150</v>
      </c>
      <c r="F661" s="303">
        <f t="shared" si="54"/>
        <v>1222.2800000000002</v>
      </c>
      <c r="G661" s="303">
        <f t="shared" si="54"/>
        <v>1207.6036999999999</v>
      </c>
      <c r="H661" s="114">
        <f t="shared" si="52"/>
        <v>98.799268580030741</v>
      </c>
    </row>
    <row r="662" spans="1:11" ht="15.75" x14ac:dyDescent="0.25">
      <c r="A662" s="68" t="s">
        <v>151</v>
      </c>
      <c r="B662" s="334" t="s">
        <v>145</v>
      </c>
      <c r="C662" s="334" t="s">
        <v>81</v>
      </c>
      <c r="D662" s="334" t="s">
        <v>374</v>
      </c>
      <c r="E662" s="118" t="s">
        <v>152</v>
      </c>
      <c r="F662" s="342">
        <f>'Пр.4 Ведом23'!G770</f>
        <v>1222.2800000000002</v>
      </c>
      <c r="G662" s="565">
        <f>'Пр.4 Ведом23'!H770</f>
        <v>1207.6036999999999</v>
      </c>
      <c r="H662" s="114">
        <f t="shared" si="52"/>
        <v>98.799268580030741</v>
      </c>
    </row>
    <row r="663" spans="1:11" s="112" customFormat="1" ht="15.75" x14ac:dyDescent="0.25">
      <c r="A663" s="116" t="s">
        <v>190</v>
      </c>
      <c r="B663" s="117" t="s">
        <v>145</v>
      </c>
      <c r="C663" s="117" t="s">
        <v>119</v>
      </c>
      <c r="D663" s="117"/>
      <c r="E663" s="117"/>
      <c r="F663" s="343">
        <f>F664+F726+F731</f>
        <v>222508.52911000003</v>
      </c>
      <c r="G663" s="566">
        <f>G664+G726+G731</f>
        <v>220021.69289000001</v>
      </c>
      <c r="H663" s="113">
        <f t="shared" si="52"/>
        <v>98.882363642442385</v>
      </c>
      <c r="I663" s="132"/>
      <c r="J663" s="132"/>
      <c r="K663" s="132"/>
    </row>
    <row r="664" spans="1:11" s="112" customFormat="1" ht="47.25" x14ac:dyDescent="0.25">
      <c r="A664" s="116" t="s">
        <v>904</v>
      </c>
      <c r="B664" s="117" t="s">
        <v>145</v>
      </c>
      <c r="C664" s="117" t="s">
        <v>119</v>
      </c>
      <c r="D664" s="117" t="s">
        <v>189</v>
      </c>
      <c r="E664" s="117"/>
      <c r="F664" s="343">
        <f>F665+F672+F679+F695+F702+F706+F710+F714+F718+F722</f>
        <v>220782.09011000002</v>
      </c>
      <c r="G664" s="566">
        <f>G665+G672+G679+G695+G702+G706+G710+G714+G718+G722</f>
        <v>218327.00439000002</v>
      </c>
      <c r="H664" s="113">
        <f t="shared" si="52"/>
        <v>98.888005037556809</v>
      </c>
      <c r="I664" s="132"/>
      <c r="J664" s="132"/>
      <c r="K664" s="132"/>
    </row>
    <row r="665" spans="1:11" ht="31.5" x14ac:dyDescent="0.25">
      <c r="A665" s="116" t="s">
        <v>375</v>
      </c>
      <c r="B665" s="117" t="s">
        <v>145</v>
      </c>
      <c r="C665" s="117" t="s">
        <v>119</v>
      </c>
      <c r="D665" s="117" t="s">
        <v>582</v>
      </c>
      <c r="E665" s="117"/>
      <c r="F665" s="305">
        <f>F666+F669</f>
        <v>33421.540710000001</v>
      </c>
      <c r="G665" s="305">
        <f>G666+G669</f>
        <v>31949.75333</v>
      </c>
      <c r="H665" s="113">
        <f t="shared" si="52"/>
        <v>95.59629104842665</v>
      </c>
    </row>
    <row r="666" spans="1:11" ht="47.25" x14ac:dyDescent="0.25">
      <c r="A666" s="335" t="s">
        <v>585</v>
      </c>
      <c r="B666" s="334" t="s">
        <v>145</v>
      </c>
      <c r="C666" s="334" t="s">
        <v>119</v>
      </c>
      <c r="D666" s="334" t="s">
        <v>594</v>
      </c>
      <c r="E666" s="334"/>
      <c r="F666" s="303">
        <f>F667</f>
        <v>33024.180209999999</v>
      </c>
      <c r="G666" s="303">
        <f>G667</f>
        <v>31552.392830000001</v>
      </c>
      <c r="H666" s="114">
        <f t="shared" si="52"/>
        <v>95.543303813627062</v>
      </c>
    </row>
    <row r="667" spans="1:11" ht="31.5" x14ac:dyDescent="0.25">
      <c r="A667" s="335" t="s">
        <v>149</v>
      </c>
      <c r="B667" s="334" t="s">
        <v>145</v>
      </c>
      <c r="C667" s="334" t="s">
        <v>119</v>
      </c>
      <c r="D667" s="334" t="s">
        <v>594</v>
      </c>
      <c r="E667" s="334" t="s">
        <v>150</v>
      </c>
      <c r="F667" s="303">
        <f>F668</f>
        <v>33024.180209999999</v>
      </c>
      <c r="G667" s="303">
        <f>G668</f>
        <v>31552.392830000001</v>
      </c>
      <c r="H667" s="114">
        <f t="shared" si="52"/>
        <v>95.543303813627062</v>
      </c>
    </row>
    <row r="668" spans="1:11" s="112" customFormat="1" ht="15.75" x14ac:dyDescent="0.25">
      <c r="A668" s="335" t="s">
        <v>151</v>
      </c>
      <c r="B668" s="334" t="s">
        <v>145</v>
      </c>
      <c r="C668" s="334" t="s">
        <v>119</v>
      </c>
      <c r="D668" s="334" t="s">
        <v>594</v>
      </c>
      <c r="E668" s="334" t="s">
        <v>152</v>
      </c>
      <c r="F668" s="303">
        <f>'Пр.4 Ведом23'!G776</f>
        <v>33024.180209999999</v>
      </c>
      <c r="G668" s="303">
        <f>'Пр.4 Ведом23'!H776</f>
        <v>31552.392830000001</v>
      </c>
      <c r="H668" s="114">
        <f t="shared" si="52"/>
        <v>95.543303813627062</v>
      </c>
      <c r="I668" s="132"/>
      <c r="J668" s="132"/>
      <c r="K668" s="132"/>
    </row>
    <row r="669" spans="1:11" s="333" customFormat="1" ht="49.5" customHeight="1" x14ac:dyDescent="0.25">
      <c r="A669" s="335" t="s">
        <v>1107</v>
      </c>
      <c r="B669" s="334" t="s">
        <v>145</v>
      </c>
      <c r="C669" s="334" t="s">
        <v>119</v>
      </c>
      <c r="D669" s="334" t="s">
        <v>1117</v>
      </c>
      <c r="E669" s="334"/>
      <c r="F669" s="445">
        <f>F670</f>
        <v>397.3605</v>
      </c>
      <c r="G669" s="445">
        <f>G670</f>
        <v>397.3605</v>
      </c>
      <c r="H669" s="114">
        <f t="shared" si="52"/>
        <v>100</v>
      </c>
    </row>
    <row r="670" spans="1:11" s="333" customFormat="1" ht="31.5" x14ac:dyDescent="0.25">
      <c r="A670" s="335" t="s">
        <v>149</v>
      </c>
      <c r="B670" s="334" t="s">
        <v>145</v>
      </c>
      <c r="C670" s="334" t="s">
        <v>119</v>
      </c>
      <c r="D670" s="334" t="s">
        <v>1117</v>
      </c>
      <c r="E670" s="334" t="s">
        <v>150</v>
      </c>
      <c r="F670" s="445">
        <f>F671</f>
        <v>397.3605</v>
      </c>
      <c r="G670" s="445">
        <f>G671</f>
        <v>397.3605</v>
      </c>
      <c r="H670" s="114">
        <f t="shared" si="52"/>
        <v>100</v>
      </c>
    </row>
    <row r="671" spans="1:11" s="333" customFormat="1" ht="15.75" x14ac:dyDescent="0.25">
      <c r="A671" s="335" t="s">
        <v>151</v>
      </c>
      <c r="B671" s="334" t="s">
        <v>145</v>
      </c>
      <c r="C671" s="334" t="s">
        <v>119</v>
      </c>
      <c r="D671" s="334" t="s">
        <v>1117</v>
      </c>
      <c r="E671" s="334" t="s">
        <v>152</v>
      </c>
      <c r="F671" s="445">
        <f>'Пр.4 Ведом23'!G779</f>
        <v>397.3605</v>
      </c>
      <c r="G671" s="445">
        <f>'Пр.4 Ведом23'!H779</f>
        <v>397.3605</v>
      </c>
      <c r="H671" s="114">
        <f t="shared" si="52"/>
        <v>100</v>
      </c>
    </row>
    <row r="672" spans="1:11" s="112" customFormat="1" ht="47.25" x14ac:dyDescent="0.25">
      <c r="A672" s="116" t="s">
        <v>349</v>
      </c>
      <c r="B672" s="117" t="s">
        <v>145</v>
      </c>
      <c r="C672" s="117" t="s">
        <v>119</v>
      </c>
      <c r="D672" s="117" t="s">
        <v>584</v>
      </c>
      <c r="E672" s="117"/>
      <c r="F672" s="305">
        <f>F673+F676</f>
        <v>169371.364</v>
      </c>
      <c r="G672" s="305">
        <f>G673+G676</f>
        <v>169005.22295999998</v>
      </c>
      <c r="H672" s="113">
        <f t="shared" si="52"/>
        <v>99.78382352757103</v>
      </c>
      <c r="I672" s="132"/>
      <c r="J672" s="132"/>
      <c r="K672" s="132"/>
    </row>
    <row r="673" spans="1:12" s="75" customFormat="1" ht="63" x14ac:dyDescent="0.25">
      <c r="A673" s="335" t="s">
        <v>647</v>
      </c>
      <c r="B673" s="334" t="s">
        <v>145</v>
      </c>
      <c r="C673" s="334" t="s">
        <v>119</v>
      </c>
      <c r="D673" s="334" t="s">
        <v>648</v>
      </c>
      <c r="E673" s="334"/>
      <c r="F673" s="337">
        <f>F674</f>
        <v>6521.7000000000007</v>
      </c>
      <c r="G673" s="337">
        <f>G674</f>
        <v>6455.8775900000001</v>
      </c>
      <c r="H673" s="114">
        <f t="shared" si="52"/>
        <v>98.990716990968593</v>
      </c>
      <c r="I673" s="132"/>
      <c r="J673" s="132"/>
      <c r="K673" s="132"/>
    </row>
    <row r="674" spans="1:12" s="75" customFormat="1" ht="31.5" x14ac:dyDescent="0.25">
      <c r="A674" s="335" t="s">
        <v>149</v>
      </c>
      <c r="B674" s="334" t="s">
        <v>145</v>
      </c>
      <c r="C674" s="334" t="s">
        <v>119</v>
      </c>
      <c r="D674" s="334" t="s">
        <v>648</v>
      </c>
      <c r="E674" s="334" t="s">
        <v>150</v>
      </c>
      <c r="F674" s="337">
        <f>F675</f>
        <v>6521.7000000000007</v>
      </c>
      <c r="G674" s="337">
        <f>G675</f>
        <v>6455.8775900000001</v>
      </c>
      <c r="H674" s="114">
        <f t="shared" si="52"/>
        <v>98.990716990968593</v>
      </c>
      <c r="I674" s="132"/>
      <c r="J674" s="132"/>
      <c r="K674" s="132"/>
    </row>
    <row r="675" spans="1:12" s="75" customFormat="1" ht="15.75" x14ac:dyDescent="0.25">
      <c r="A675" s="335" t="s">
        <v>151</v>
      </c>
      <c r="B675" s="334" t="s">
        <v>145</v>
      </c>
      <c r="C675" s="334" t="s">
        <v>119</v>
      </c>
      <c r="D675" s="334" t="s">
        <v>648</v>
      </c>
      <c r="E675" s="334" t="s">
        <v>152</v>
      </c>
      <c r="F675" s="337">
        <f>'Пр.4 Ведом23'!G783</f>
        <v>6521.7000000000007</v>
      </c>
      <c r="G675" s="337">
        <f>'Пр.4 Ведом23'!H783</f>
        <v>6455.8775900000001</v>
      </c>
      <c r="H675" s="114">
        <f t="shared" si="52"/>
        <v>98.990716990968593</v>
      </c>
      <c r="I675" s="132"/>
      <c r="J675" s="132"/>
      <c r="K675" s="132"/>
    </row>
    <row r="676" spans="1:12" s="75" customFormat="1" ht="47.25" x14ac:dyDescent="0.25">
      <c r="A676" s="335" t="s">
        <v>852</v>
      </c>
      <c r="B676" s="334" t="s">
        <v>145</v>
      </c>
      <c r="C676" s="334" t="s">
        <v>119</v>
      </c>
      <c r="D676" s="334" t="s">
        <v>763</v>
      </c>
      <c r="E676" s="334"/>
      <c r="F676" s="337">
        <f>F677</f>
        <v>162849.66399999999</v>
      </c>
      <c r="G676" s="337">
        <f>G677</f>
        <v>162549.34537</v>
      </c>
      <c r="H676" s="114">
        <f t="shared" si="52"/>
        <v>99.81558535484605</v>
      </c>
      <c r="I676" s="132"/>
      <c r="J676" s="132"/>
      <c r="K676" s="132"/>
    </row>
    <row r="677" spans="1:12" s="75" customFormat="1" ht="31.5" x14ac:dyDescent="0.25">
      <c r="A677" s="335" t="s">
        <v>149</v>
      </c>
      <c r="B677" s="334" t="s">
        <v>145</v>
      </c>
      <c r="C677" s="334" t="s">
        <v>119</v>
      </c>
      <c r="D677" s="334" t="s">
        <v>763</v>
      </c>
      <c r="E677" s="334" t="s">
        <v>150</v>
      </c>
      <c r="F677" s="337">
        <f>F678</f>
        <v>162849.66399999999</v>
      </c>
      <c r="G677" s="337">
        <f>G678</f>
        <v>162549.34537</v>
      </c>
      <c r="H677" s="114">
        <f t="shared" si="52"/>
        <v>99.81558535484605</v>
      </c>
      <c r="I677" s="132"/>
      <c r="J677" s="132"/>
      <c r="K677" s="132"/>
    </row>
    <row r="678" spans="1:12" s="131" customFormat="1" ht="15.75" x14ac:dyDescent="0.25">
      <c r="A678" s="335" t="s">
        <v>151</v>
      </c>
      <c r="B678" s="334" t="s">
        <v>145</v>
      </c>
      <c r="C678" s="334" t="s">
        <v>119</v>
      </c>
      <c r="D678" s="334" t="s">
        <v>763</v>
      </c>
      <c r="E678" s="334" t="s">
        <v>152</v>
      </c>
      <c r="F678" s="337">
        <f>'Пр.4 Ведом23'!G786</f>
        <v>162849.66399999999</v>
      </c>
      <c r="G678" s="337">
        <f>'Пр.4 Ведом23'!H786</f>
        <v>162549.34537</v>
      </c>
      <c r="H678" s="114">
        <f t="shared" si="52"/>
        <v>99.81558535484605</v>
      </c>
      <c r="I678" s="132"/>
      <c r="J678" s="132"/>
      <c r="K678" s="132"/>
    </row>
    <row r="679" spans="1:12" s="131" customFormat="1" ht="31.5" x14ac:dyDescent="0.25">
      <c r="A679" s="116" t="s">
        <v>595</v>
      </c>
      <c r="B679" s="117" t="s">
        <v>145</v>
      </c>
      <c r="C679" s="117" t="s">
        <v>119</v>
      </c>
      <c r="D679" s="117" t="s">
        <v>586</v>
      </c>
      <c r="E679" s="117"/>
      <c r="F679" s="338">
        <f>F680+F683+F686+F689+F691</f>
        <v>2235.4479999999999</v>
      </c>
      <c r="G679" s="338">
        <f>G680+G683+G686+G689+G691</f>
        <v>1860.0084700000002</v>
      </c>
      <c r="H679" s="113">
        <f t="shared" si="52"/>
        <v>83.205177217273686</v>
      </c>
      <c r="I679" s="132"/>
      <c r="J679" s="132"/>
      <c r="K679" s="132"/>
    </row>
    <row r="680" spans="1:12" s="131" customFormat="1" ht="31.5" hidden="1" customHeight="1" x14ac:dyDescent="0.25">
      <c r="A680" s="335" t="s">
        <v>192</v>
      </c>
      <c r="B680" s="334" t="s">
        <v>145</v>
      </c>
      <c r="C680" s="334" t="s">
        <v>119</v>
      </c>
      <c r="D680" s="334" t="s">
        <v>630</v>
      </c>
      <c r="E680" s="334"/>
      <c r="F680" s="337">
        <f>F681</f>
        <v>0</v>
      </c>
      <c r="G680" s="337">
        <f>G681</f>
        <v>0</v>
      </c>
      <c r="H680" s="114" t="e">
        <f t="shared" si="52"/>
        <v>#DIV/0!</v>
      </c>
      <c r="I680" s="132"/>
      <c r="J680" s="132"/>
      <c r="K680" s="132"/>
    </row>
    <row r="681" spans="1:12" s="131" customFormat="1" ht="31.5" hidden="1" customHeight="1" x14ac:dyDescent="0.25">
      <c r="A681" s="335" t="s">
        <v>149</v>
      </c>
      <c r="B681" s="334" t="s">
        <v>145</v>
      </c>
      <c r="C681" s="334" t="s">
        <v>119</v>
      </c>
      <c r="D681" s="334" t="s">
        <v>630</v>
      </c>
      <c r="E681" s="334" t="s">
        <v>150</v>
      </c>
      <c r="F681" s="337">
        <f>F682</f>
        <v>0</v>
      </c>
      <c r="G681" s="337">
        <f>G682</f>
        <v>0</v>
      </c>
      <c r="H681" s="114" t="e">
        <f t="shared" si="52"/>
        <v>#DIV/0!</v>
      </c>
      <c r="I681" s="132"/>
      <c r="J681" s="132"/>
      <c r="K681" s="132"/>
    </row>
    <row r="682" spans="1:12" s="131" customFormat="1" ht="15.75" hidden="1" customHeight="1" x14ac:dyDescent="0.25">
      <c r="A682" s="335" t="s">
        <v>151</v>
      </c>
      <c r="B682" s="334" t="s">
        <v>145</v>
      </c>
      <c r="C682" s="334" t="s">
        <v>119</v>
      </c>
      <c r="D682" s="334" t="s">
        <v>630</v>
      </c>
      <c r="E682" s="334" t="s">
        <v>152</v>
      </c>
      <c r="F682" s="337">
        <f>'Пр.4 Ведом23'!G790</f>
        <v>0</v>
      </c>
      <c r="G682" s="337">
        <f>'Пр.4 Ведом23'!H790</f>
        <v>0</v>
      </c>
      <c r="H682" s="114" t="e">
        <f t="shared" si="52"/>
        <v>#DIV/0!</v>
      </c>
      <c r="I682" s="132"/>
      <c r="J682" s="132"/>
      <c r="K682" s="132"/>
    </row>
    <row r="683" spans="1:12" s="131" customFormat="1" ht="31.5" x14ac:dyDescent="0.25">
      <c r="A683" s="335" t="s">
        <v>153</v>
      </c>
      <c r="B683" s="334" t="s">
        <v>145</v>
      </c>
      <c r="C683" s="334" t="s">
        <v>119</v>
      </c>
      <c r="D683" s="334" t="s">
        <v>631</v>
      </c>
      <c r="E683" s="334"/>
      <c r="F683" s="337">
        <f>F684</f>
        <v>2002.9699999999998</v>
      </c>
      <c r="G683" s="337">
        <f>G684</f>
        <v>1657.63067</v>
      </c>
      <c r="H683" s="114">
        <f t="shared" si="52"/>
        <v>82.758636924167618</v>
      </c>
      <c r="I683" s="132"/>
      <c r="J683" s="132"/>
      <c r="K683" s="132"/>
    </row>
    <row r="684" spans="1:12" s="131" customFormat="1" ht="31.5" x14ac:dyDescent="0.25">
      <c r="A684" s="335" t="s">
        <v>149</v>
      </c>
      <c r="B684" s="334" t="s">
        <v>145</v>
      </c>
      <c r="C684" s="334" t="s">
        <v>119</v>
      </c>
      <c r="D684" s="334" t="s">
        <v>631</v>
      </c>
      <c r="E684" s="334" t="s">
        <v>150</v>
      </c>
      <c r="F684" s="337">
        <f>F685</f>
        <v>2002.9699999999998</v>
      </c>
      <c r="G684" s="337">
        <f>G685</f>
        <v>1657.63067</v>
      </c>
      <c r="H684" s="114">
        <f t="shared" si="52"/>
        <v>82.758636924167618</v>
      </c>
      <c r="I684" s="132"/>
      <c r="J684" s="132"/>
      <c r="K684" s="132"/>
    </row>
    <row r="685" spans="1:12" ht="15.75" x14ac:dyDescent="0.25">
      <c r="A685" s="335" t="s">
        <v>151</v>
      </c>
      <c r="B685" s="334" t="s">
        <v>145</v>
      </c>
      <c r="C685" s="334" t="s">
        <v>119</v>
      </c>
      <c r="D685" s="334" t="s">
        <v>631</v>
      </c>
      <c r="E685" s="334" t="s">
        <v>152</v>
      </c>
      <c r="F685" s="342">
        <f>'Пр.4 Ведом23'!G793</f>
        <v>2002.9699999999998</v>
      </c>
      <c r="G685" s="565">
        <f>'Пр.4 Ведом23'!H793</f>
        <v>1657.63067</v>
      </c>
      <c r="H685" s="114">
        <f t="shared" si="52"/>
        <v>82.758636924167618</v>
      </c>
      <c r="K685" s="84"/>
      <c r="L685" s="86"/>
    </row>
    <row r="686" spans="1:12" ht="31.5" hidden="1" customHeight="1" x14ac:dyDescent="0.25">
      <c r="A686" s="335" t="s">
        <v>855</v>
      </c>
      <c r="B686" s="334" t="s">
        <v>145</v>
      </c>
      <c r="C686" s="334" t="s">
        <v>119</v>
      </c>
      <c r="D686" s="334" t="s">
        <v>632</v>
      </c>
      <c r="E686" s="334"/>
      <c r="F686" s="342">
        <f>F687</f>
        <v>0</v>
      </c>
      <c r="G686" s="565">
        <f>G687</f>
        <v>0</v>
      </c>
      <c r="H686" s="114" t="e">
        <f t="shared" si="52"/>
        <v>#DIV/0!</v>
      </c>
    </row>
    <row r="687" spans="1:12" ht="31.5" hidden="1" customHeight="1" x14ac:dyDescent="0.25">
      <c r="A687" s="335" t="s">
        <v>149</v>
      </c>
      <c r="B687" s="334" t="s">
        <v>145</v>
      </c>
      <c r="C687" s="334" t="s">
        <v>119</v>
      </c>
      <c r="D687" s="334" t="s">
        <v>632</v>
      </c>
      <c r="E687" s="334" t="s">
        <v>150</v>
      </c>
      <c r="F687" s="342">
        <f>F688</f>
        <v>0</v>
      </c>
      <c r="G687" s="565">
        <f>G688</f>
        <v>0</v>
      </c>
      <c r="H687" s="114" t="e">
        <f t="shared" si="52"/>
        <v>#DIV/0!</v>
      </c>
    </row>
    <row r="688" spans="1:12" s="75" customFormat="1" ht="15.75" hidden="1" customHeight="1" x14ac:dyDescent="0.25">
      <c r="A688" s="335" t="s">
        <v>151</v>
      </c>
      <c r="B688" s="334" t="s">
        <v>145</v>
      </c>
      <c r="C688" s="334" t="s">
        <v>119</v>
      </c>
      <c r="D688" s="334" t="s">
        <v>632</v>
      </c>
      <c r="E688" s="334" t="s">
        <v>152</v>
      </c>
      <c r="F688" s="342">
        <f>'Пр.4 Ведом23'!G796</f>
        <v>0</v>
      </c>
      <c r="G688" s="565">
        <f>'Пр.4 Ведом23'!H796</f>
        <v>0</v>
      </c>
      <c r="H688" s="114" t="e">
        <f t="shared" si="52"/>
        <v>#DIV/0!</v>
      </c>
      <c r="I688" s="132"/>
      <c r="J688" s="132"/>
      <c r="K688" s="132"/>
    </row>
    <row r="689" spans="1:11" ht="31.5" x14ac:dyDescent="0.25">
      <c r="A689" s="335" t="s">
        <v>154</v>
      </c>
      <c r="B689" s="334" t="s">
        <v>145</v>
      </c>
      <c r="C689" s="334" t="s">
        <v>119</v>
      </c>
      <c r="D689" s="334" t="s">
        <v>596</v>
      </c>
      <c r="E689" s="334"/>
      <c r="F689" s="342">
        <f>F690</f>
        <v>165.49999999999997</v>
      </c>
      <c r="G689" s="565">
        <f>G690</f>
        <v>135.4</v>
      </c>
      <c r="H689" s="114">
        <f t="shared" si="52"/>
        <v>81.812688821752289</v>
      </c>
    </row>
    <row r="690" spans="1:11" ht="31.5" x14ac:dyDescent="0.25">
      <c r="A690" s="335" t="s">
        <v>149</v>
      </c>
      <c r="B690" s="334" t="s">
        <v>145</v>
      </c>
      <c r="C690" s="334" t="s">
        <v>119</v>
      </c>
      <c r="D690" s="334" t="s">
        <v>596</v>
      </c>
      <c r="E690" s="334" t="s">
        <v>150</v>
      </c>
      <c r="F690" s="342">
        <f>F694</f>
        <v>165.49999999999997</v>
      </c>
      <c r="G690" s="565">
        <f>G694</f>
        <v>135.4</v>
      </c>
      <c r="H690" s="114">
        <f t="shared" si="52"/>
        <v>81.812688821752289</v>
      </c>
    </row>
    <row r="691" spans="1:11" s="332" customFormat="1" ht="47.25" x14ac:dyDescent="0.25">
      <c r="A691" s="310" t="s">
        <v>1090</v>
      </c>
      <c r="B691" s="334" t="s">
        <v>145</v>
      </c>
      <c r="C691" s="334" t="s">
        <v>119</v>
      </c>
      <c r="D691" s="334" t="s">
        <v>1091</v>
      </c>
      <c r="E691" s="334"/>
      <c r="F691" s="342">
        <f>F692</f>
        <v>66.977999999999994</v>
      </c>
      <c r="G691" s="565">
        <f>G692</f>
        <v>66.977800000000002</v>
      </c>
      <c r="H691" s="114">
        <f t="shared" si="52"/>
        <v>99.999701394487744</v>
      </c>
      <c r="I691" s="333"/>
      <c r="J691" s="333"/>
      <c r="K691" s="333"/>
    </row>
    <row r="692" spans="1:11" s="332" customFormat="1" ht="31.5" x14ac:dyDescent="0.25">
      <c r="A692" s="335" t="s">
        <v>149</v>
      </c>
      <c r="B692" s="334" t="s">
        <v>145</v>
      </c>
      <c r="C692" s="334" t="s">
        <v>119</v>
      </c>
      <c r="D692" s="334" t="s">
        <v>1091</v>
      </c>
      <c r="E692" s="334" t="s">
        <v>150</v>
      </c>
      <c r="F692" s="342">
        <f>F693</f>
        <v>66.977999999999994</v>
      </c>
      <c r="G692" s="565">
        <f>G693</f>
        <v>66.977800000000002</v>
      </c>
      <c r="H692" s="114">
        <f t="shared" si="52"/>
        <v>99.999701394487744</v>
      </c>
      <c r="I692" s="333"/>
      <c r="J692" s="333"/>
      <c r="K692" s="333"/>
    </row>
    <row r="693" spans="1:11" s="332" customFormat="1" ht="15.75" x14ac:dyDescent="0.25">
      <c r="A693" s="335" t="s">
        <v>151</v>
      </c>
      <c r="B693" s="334" t="s">
        <v>145</v>
      </c>
      <c r="C693" s="334" t="s">
        <v>119</v>
      </c>
      <c r="D693" s="334" t="s">
        <v>1091</v>
      </c>
      <c r="E693" s="334" t="s">
        <v>152</v>
      </c>
      <c r="F693" s="342">
        <f>'Пр.4 Ведом23'!G802</f>
        <v>66.977999999999994</v>
      </c>
      <c r="G693" s="565">
        <f>'Пр.4 Ведом23'!H802</f>
        <v>66.977800000000002</v>
      </c>
      <c r="H693" s="114">
        <f t="shared" si="52"/>
        <v>99.999701394487744</v>
      </c>
      <c r="I693" s="333"/>
      <c r="J693" s="333"/>
      <c r="K693" s="333"/>
    </row>
    <row r="694" spans="1:11" ht="15.75" x14ac:dyDescent="0.25">
      <c r="A694" s="335" t="s">
        <v>151</v>
      </c>
      <c r="B694" s="334" t="s">
        <v>145</v>
      </c>
      <c r="C694" s="334" t="s">
        <v>119</v>
      </c>
      <c r="D694" s="334" t="s">
        <v>596</v>
      </c>
      <c r="E694" s="334" t="s">
        <v>152</v>
      </c>
      <c r="F694" s="303">
        <f>'Пр.4 Ведом23'!G799</f>
        <v>165.49999999999997</v>
      </c>
      <c r="G694" s="303">
        <f>'Пр.4 Ведом23'!H799</f>
        <v>135.4</v>
      </c>
      <c r="H694" s="114">
        <f t="shared" si="52"/>
        <v>81.812688821752289</v>
      </c>
    </row>
    <row r="695" spans="1:11" ht="31.5" x14ac:dyDescent="0.25">
      <c r="A695" s="80" t="s">
        <v>381</v>
      </c>
      <c r="B695" s="117" t="s">
        <v>145</v>
      </c>
      <c r="C695" s="117" t="s">
        <v>119</v>
      </c>
      <c r="D695" s="117" t="s">
        <v>589</v>
      </c>
      <c r="E695" s="117"/>
      <c r="F695" s="343">
        <f>F696+F699</f>
        <v>3599</v>
      </c>
      <c r="G695" s="566">
        <f>G696+G699</f>
        <v>3413.6575699999999</v>
      </c>
      <c r="H695" s="113">
        <f t="shared" si="52"/>
        <v>94.850168657960538</v>
      </c>
    </row>
    <row r="696" spans="1:11" s="75" customFormat="1" ht="31.5" hidden="1" customHeight="1" x14ac:dyDescent="0.25">
      <c r="A696" s="335" t="s">
        <v>276</v>
      </c>
      <c r="B696" s="334" t="s">
        <v>145</v>
      </c>
      <c r="C696" s="334" t="s">
        <v>119</v>
      </c>
      <c r="D696" s="334" t="s">
        <v>597</v>
      </c>
      <c r="E696" s="334"/>
      <c r="F696" s="342">
        <f>F697</f>
        <v>0</v>
      </c>
      <c r="G696" s="565">
        <f>G697</f>
        <v>0</v>
      </c>
      <c r="H696" s="114" t="e">
        <f t="shared" si="52"/>
        <v>#DIV/0!</v>
      </c>
      <c r="I696" s="132"/>
      <c r="J696" s="132"/>
      <c r="K696" s="132"/>
    </row>
    <row r="697" spans="1:11" s="75" customFormat="1" ht="31.5" hidden="1" customHeight="1" x14ac:dyDescent="0.25">
      <c r="A697" s="335" t="s">
        <v>149</v>
      </c>
      <c r="B697" s="334" t="s">
        <v>145</v>
      </c>
      <c r="C697" s="334" t="s">
        <v>119</v>
      </c>
      <c r="D697" s="334" t="s">
        <v>597</v>
      </c>
      <c r="E697" s="334" t="s">
        <v>150</v>
      </c>
      <c r="F697" s="342">
        <f>F698</f>
        <v>0</v>
      </c>
      <c r="G697" s="565">
        <f>G698</f>
        <v>0</v>
      </c>
      <c r="H697" s="114" t="e">
        <f t="shared" si="52"/>
        <v>#DIV/0!</v>
      </c>
      <c r="I697" s="132"/>
      <c r="J697" s="132"/>
      <c r="K697" s="132"/>
    </row>
    <row r="698" spans="1:11" s="75" customFormat="1" ht="15.75" hidden="1" customHeight="1" x14ac:dyDescent="0.25">
      <c r="A698" s="335" t="s">
        <v>151</v>
      </c>
      <c r="B698" s="334" t="s">
        <v>145</v>
      </c>
      <c r="C698" s="334" t="s">
        <v>119</v>
      </c>
      <c r="D698" s="334" t="s">
        <v>597</v>
      </c>
      <c r="E698" s="334" t="s">
        <v>152</v>
      </c>
      <c r="F698" s="342">
        <f>'Пр.4 Ведом23'!G806</f>
        <v>0</v>
      </c>
      <c r="G698" s="565">
        <f>'Пр.4 Ведом23'!H806</f>
        <v>0</v>
      </c>
      <c r="H698" s="114" t="e">
        <f t="shared" si="52"/>
        <v>#DIV/0!</v>
      </c>
      <c r="I698" s="132"/>
      <c r="J698" s="132"/>
      <c r="K698" s="132"/>
    </row>
    <row r="699" spans="1:11" ht="31.5" x14ac:dyDescent="0.25">
      <c r="A699" s="32" t="s">
        <v>261</v>
      </c>
      <c r="B699" s="334" t="s">
        <v>145</v>
      </c>
      <c r="C699" s="334" t="s">
        <v>119</v>
      </c>
      <c r="D699" s="334" t="s">
        <v>590</v>
      </c>
      <c r="E699" s="334"/>
      <c r="F699" s="342">
        <f>F700</f>
        <v>3599</v>
      </c>
      <c r="G699" s="565">
        <f>G700</f>
        <v>3413.6575699999999</v>
      </c>
      <c r="H699" s="114">
        <f t="shared" si="52"/>
        <v>94.850168657960538</v>
      </c>
    </row>
    <row r="700" spans="1:11" ht="31.5" x14ac:dyDescent="0.25">
      <c r="A700" s="19" t="s">
        <v>149</v>
      </c>
      <c r="B700" s="334" t="s">
        <v>145</v>
      </c>
      <c r="C700" s="334" t="s">
        <v>119</v>
      </c>
      <c r="D700" s="334" t="s">
        <v>590</v>
      </c>
      <c r="E700" s="334" t="s">
        <v>150</v>
      </c>
      <c r="F700" s="342">
        <f>F701</f>
        <v>3599</v>
      </c>
      <c r="G700" s="565">
        <f>G701</f>
        <v>3413.6575699999999</v>
      </c>
      <c r="H700" s="114">
        <f t="shared" si="52"/>
        <v>94.850168657960538</v>
      </c>
    </row>
    <row r="701" spans="1:11" ht="15.75" x14ac:dyDescent="0.25">
      <c r="A701" s="68" t="s">
        <v>151</v>
      </c>
      <c r="B701" s="334" t="s">
        <v>145</v>
      </c>
      <c r="C701" s="334" t="s">
        <v>119</v>
      </c>
      <c r="D701" s="334" t="s">
        <v>590</v>
      </c>
      <c r="E701" s="334" t="s">
        <v>152</v>
      </c>
      <c r="F701" s="342">
        <f>'Пр.4 Ведом23'!G809</f>
        <v>3599</v>
      </c>
      <c r="G701" s="565">
        <f>'Пр.4 Ведом23'!H809</f>
        <v>3413.6575699999999</v>
      </c>
      <c r="H701" s="114">
        <f t="shared" si="52"/>
        <v>94.850168657960538</v>
      </c>
    </row>
    <row r="702" spans="1:11" ht="31.5" x14ac:dyDescent="0.25">
      <c r="A702" s="116" t="s">
        <v>737</v>
      </c>
      <c r="B702" s="117" t="s">
        <v>145</v>
      </c>
      <c r="C702" s="117" t="s">
        <v>119</v>
      </c>
      <c r="D702" s="117" t="s">
        <v>592</v>
      </c>
      <c r="E702" s="117"/>
      <c r="F702" s="343">
        <f t="shared" ref="F702:G704" si="55">F703</f>
        <v>5130.4143999999997</v>
      </c>
      <c r="G702" s="566">
        <f t="shared" si="55"/>
        <v>5130.4143999999997</v>
      </c>
      <c r="H702" s="113">
        <f t="shared" si="52"/>
        <v>100</v>
      </c>
    </row>
    <row r="703" spans="1:11" ht="31.5" x14ac:dyDescent="0.25">
      <c r="A703" s="335" t="s">
        <v>738</v>
      </c>
      <c r="B703" s="334" t="s">
        <v>145</v>
      </c>
      <c r="C703" s="334" t="s">
        <v>119</v>
      </c>
      <c r="D703" s="334" t="s">
        <v>739</v>
      </c>
      <c r="E703" s="334"/>
      <c r="F703" s="342">
        <f t="shared" si="55"/>
        <v>5130.4143999999997</v>
      </c>
      <c r="G703" s="565">
        <f t="shared" si="55"/>
        <v>5130.4143999999997</v>
      </c>
      <c r="H703" s="114">
        <f t="shared" si="52"/>
        <v>100</v>
      </c>
    </row>
    <row r="704" spans="1:11" ht="31.5" x14ac:dyDescent="0.25">
      <c r="A704" s="335" t="s">
        <v>149</v>
      </c>
      <c r="B704" s="334" t="s">
        <v>145</v>
      </c>
      <c r="C704" s="334" t="s">
        <v>119</v>
      </c>
      <c r="D704" s="334" t="s">
        <v>739</v>
      </c>
      <c r="E704" s="334" t="s">
        <v>150</v>
      </c>
      <c r="F704" s="342">
        <f t="shared" si="55"/>
        <v>5130.4143999999997</v>
      </c>
      <c r="G704" s="565">
        <f t="shared" si="55"/>
        <v>5130.4143999999997</v>
      </c>
      <c r="H704" s="114">
        <f t="shared" si="52"/>
        <v>100</v>
      </c>
    </row>
    <row r="705" spans="1:11" ht="15.75" x14ac:dyDescent="0.25">
      <c r="A705" s="335" t="s">
        <v>151</v>
      </c>
      <c r="B705" s="334" t="s">
        <v>145</v>
      </c>
      <c r="C705" s="334" t="s">
        <v>119</v>
      </c>
      <c r="D705" s="334" t="s">
        <v>739</v>
      </c>
      <c r="E705" s="334" t="s">
        <v>152</v>
      </c>
      <c r="F705" s="342">
        <f>'Пр.4 Ведом23'!G813</f>
        <v>5130.4143999999997</v>
      </c>
      <c r="G705" s="565">
        <f>'Пр.4 Ведом23'!H813</f>
        <v>5130.4143999999997</v>
      </c>
      <c r="H705" s="114">
        <f t="shared" si="52"/>
        <v>100</v>
      </c>
    </row>
    <row r="706" spans="1:11" ht="31.5" x14ac:dyDescent="0.25">
      <c r="A706" s="95" t="s">
        <v>650</v>
      </c>
      <c r="B706" s="117" t="s">
        <v>145</v>
      </c>
      <c r="C706" s="117" t="s">
        <v>119</v>
      </c>
      <c r="D706" s="117" t="s">
        <v>993</v>
      </c>
      <c r="E706" s="117"/>
      <c r="F706" s="343">
        <f t="shared" ref="F706:G708" si="56">F707</f>
        <v>5213.21</v>
      </c>
      <c r="G706" s="566">
        <f t="shared" si="56"/>
        <v>5213.1999800000003</v>
      </c>
      <c r="H706" s="113">
        <f t="shared" si="52"/>
        <v>99.999807795964486</v>
      </c>
    </row>
    <row r="707" spans="1:11" ht="63" x14ac:dyDescent="0.25">
      <c r="A707" s="94" t="s">
        <v>646</v>
      </c>
      <c r="B707" s="334" t="s">
        <v>145</v>
      </c>
      <c r="C707" s="334" t="s">
        <v>119</v>
      </c>
      <c r="D707" s="334" t="s">
        <v>994</v>
      </c>
      <c r="E707" s="334"/>
      <c r="F707" s="342">
        <f t="shared" si="56"/>
        <v>5213.21</v>
      </c>
      <c r="G707" s="565">
        <f t="shared" si="56"/>
        <v>5213.1999800000003</v>
      </c>
      <c r="H707" s="114">
        <f t="shared" si="52"/>
        <v>99.999807795964486</v>
      </c>
    </row>
    <row r="708" spans="1:11" ht="31.5" x14ac:dyDescent="0.25">
      <c r="A708" s="20" t="s">
        <v>149</v>
      </c>
      <c r="B708" s="334" t="s">
        <v>145</v>
      </c>
      <c r="C708" s="334" t="s">
        <v>119</v>
      </c>
      <c r="D708" s="334" t="s">
        <v>994</v>
      </c>
      <c r="E708" s="334" t="s">
        <v>150</v>
      </c>
      <c r="F708" s="342">
        <f t="shared" si="56"/>
        <v>5213.21</v>
      </c>
      <c r="G708" s="565">
        <f t="shared" si="56"/>
        <v>5213.1999800000003</v>
      </c>
      <c r="H708" s="114">
        <f t="shared" si="52"/>
        <v>99.999807795964486</v>
      </c>
    </row>
    <row r="709" spans="1:11" ht="15.75" x14ac:dyDescent="0.25">
      <c r="A709" s="20" t="s">
        <v>151</v>
      </c>
      <c r="B709" s="334" t="s">
        <v>145</v>
      </c>
      <c r="C709" s="334" t="s">
        <v>119</v>
      </c>
      <c r="D709" s="334" t="s">
        <v>994</v>
      </c>
      <c r="E709" s="334" t="s">
        <v>152</v>
      </c>
      <c r="F709" s="342">
        <f>'Пр.4 Ведом23'!G817</f>
        <v>5213.21</v>
      </c>
      <c r="G709" s="565">
        <f>'Пр.4 Ведом23'!H817</f>
        <v>5213.1999800000003</v>
      </c>
      <c r="H709" s="114">
        <f t="shared" si="52"/>
        <v>99.999807795964486</v>
      </c>
    </row>
    <row r="710" spans="1:11" ht="47.25" hidden="1" customHeight="1" x14ac:dyDescent="0.25">
      <c r="A710" s="315" t="s">
        <v>551</v>
      </c>
      <c r="B710" s="117" t="s">
        <v>145</v>
      </c>
      <c r="C710" s="117" t="s">
        <v>119</v>
      </c>
      <c r="D710" s="117" t="s">
        <v>633</v>
      </c>
      <c r="E710" s="117"/>
      <c r="F710" s="343">
        <f t="shared" ref="F710:G712" si="57">F711</f>
        <v>0</v>
      </c>
      <c r="G710" s="566">
        <f t="shared" si="57"/>
        <v>0</v>
      </c>
      <c r="H710" s="114" t="e">
        <f t="shared" si="52"/>
        <v>#DIV/0!</v>
      </c>
    </row>
    <row r="711" spans="1:11" ht="78.75" hidden="1" customHeight="1" x14ac:dyDescent="0.25">
      <c r="A711" s="68" t="s">
        <v>676</v>
      </c>
      <c r="B711" s="334" t="s">
        <v>145</v>
      </c>
      <c r="C711" s="334" t="s">
        <v>119</v>
      </c>
      <c r="D711" s="334" t="s">
        <v>634</v>
      </c>
      <c r="E711" s="334"/>
      <c r="F711" s="342">
        <f t="shared" si="57"/>
        <v>0</v>
      </c>
      <c r="G711" s="565">
        <f t="shared" si="57"/>
        <v>0</v>
      </c>
      <c r="H711" s="114" t="e">
        <f t="shared" si="52"/>
        <v>#DIV/0!</v>
      </c>
    </row>
    <row r="712" spans="1:11" ht="31.5" hidden="1" customHeight="1" x14ac:dyDescent="0.25">
      <c r="A712" s="20" t="s">
        <v>149</v>
      </c>
      <c r="B712" s="334" t="s">
        <v>145</v>
      </c>
      <c r="C712" s="334" t="s">
        <v>119</v>
      </c>
      <c r="D712" s="334" t="s">
        <v>634</v>
      </c>
      <c r="E712" s="334" t="s">
        <v>150</v>
      </c>
      <c r="F712" s="342">
        <f t="shared" si="57"/>
        <v>0</v>
      </c>
      <c r="G712" s="565">
        <f t="shared" si="57"/>
        <v>0</v>
      </c>
      <c r="H712" s="114" t="e">
        <f t="shared" si="52"/>
        <v>#DIV/0!</v>
      </c>
    </row>
    <row r="713" spans="1:11" ht="15.75" hidden="1" customHeight="1" x14ac:dyDescent="0.25">
      <c r="A713" s="20" t="s">
        <v>151</v>
      </c>
      <c r="B713" s="334" t="s">
        <v>145</v>
      </c>
      <c r="C713" s="334" t="s">
        <v>119</v>
      </c>
      <c r="D713" s="334" t="s">
        <v>634</v>
      </c>
      <c r="E713" s="334" t="s">
        <v>152</v>
      </c>
      <c r="F713" s="342">
        <f>'Пр.4 Ведом23'!G821</f>
        <v>0</v>
      </c>
      <c r="G713" s="565">
        <f>'Пр.4 Ведом23'!H821</f>
        <v>0</v>
      </c>
      <c r="H713" s="114" t="e">
        <f t="shared" si="52"/>
        <v>#DIV/0!</v>
      </c>
    </row>
    <row r="714" spans="1:11" ht="31.5" hidden="1" customHeight="1" x14ac:dyDescent="0.25">
      <c r="A714" s="22" t="s">
        <v>663</v>
      </c>
      <c r="B714" s="117" t="s">
        <v>145</v>
      </c>
      <c r="C714" s="117" t="s">
        <v>119</v>
      </c>
      <c r="D714" s="117" t="s">
        <v>664</v>
      </c>
      <c r="E714" s="334"/>
      <c r="F714" s="343">
        <f t="shared" ref="F714:G716" si="58">F715</f>
        <v>0</v>
      </c>
      <c r="G714" s="566">
        <f t="shared" si="58"/>
        <v>0</v>
      </c>
      <c r="H714" s="114" t="e">
        <f t="shared" si="52"/>
        <v>#DIV/0!</v>
      </c>
    </row>
    <row r="715" spans="1:11" ht="63" hidden="1" customHeight="1" x14ac:dyDescent="0.25">
      <c r="A715" s="20" t="s">
        <v>677</v>
      </c>
      <c r="B715" s="334" t="s">
        <v>145</v>
      </c>
      <c r="C715" s="334" t="s">
        <v>119</v>
      </c>
      <c r="D715" s="334" t="s">
        <v>665</v>
      </c>
      <c r="E715" s="334"/>
      <c r="F715" s="342">
        <f t="shared" si="58"/>
        <v>0</v>
      </c>
      <c r="G715" s="565">
        <f t="shared" si="58"/>
        <v>0</v>
      </c>
      <c r="H715" s="114" t="e">
        <f t="shared" ref="H715:H778" si="59">G715/F715*100</f>
        <v>#DIV/0!</v>
      </c>
    </row>
    <row r="716" spans="1:11" ht="31.5" hidden="1" customHeight="1" x14ac:dyDescent="0.25">
      <c r="A716" s="20" t="s">
        <v>149</v>
      </c>
      <c r="B716" s="334" t="s">
        <v>145</v>
      </c>
      <c r="C716" s="334" t="s">
        <v>119</v>
      </c>
      <c r="D716" s="334" t="s">
        <v>665</v>
      </c>
      <c r="E716" s="334" t="s">
        <v>150</v>
      </c>
      <c r="F716" s="342">
        <f t="shared" si="58"/>
        <v>0</v>
      </c>
      <c r="G716" s="565">
        <f t="shared" si="58"/>
        <v>0</v>
      </c>
      <c r="H716" s="114" t="e">
        <f t="shared" si="59"/>
        <v>#DIV/0!</v>
      </c>
    </row>
    <row r="717" spans="1:11" s="75" customFormat="1" ht="15.75" hidden="1" customHeight="1" x14ac:dyDescent="0.25">
      <c r="A717" s="20" t="s">
        <v>151</v>
      </c>
      <c r="B717" s="334" t="s">
        <v>145</v>
      </c>
      <c r="C717" s="334" t="s">
        <v>119</v>
      </c>
      <c r="D717" s="334" t="s">
        <v>665</v>
      </c>
      <c r="E717" s="334" t="s">
        <v>152</v>
      </c>
      <c r="F717" s="337">
        <f>'Пр.4 Ведом23'!G825</f>
        <v>0</v>
      </c>
      <c r="G717" s="337">
        <f>'Пр.4 Ведом23'!H825</f>
        <v>0</v>
      </c>
      <c r="H717" s="114" t="e">
        <f t="shared" si="59"/>
        <v>#DIV/0!</v>
      </c>
      <c r="I717" s="132"/>
      <c r="J717" s="132"/>
      <c r="K717" s="132"/>
    </row>
    <row r="718" spans="1:11" s="75" customFormat="1" ht="31.5" x14ac:dyDescent="0.25">
      <c r="A718" s="22" t="s">
        <v>667</v>
      </c>
      <c r="B718" s="117" t="s">
        <v>145</v>
      </c>
      <c r="C718" s="117" t="s">
        <v>119</v>
      </c>
      <c r="D718" s="117" t="s">
        <v>666</v>
      </c>
      <c r="E718" s="117"/>
      <c r="F718" s="338">
        <f t="shared" ref="F718:G720" si="60">F719</f>
        <v>1679.51</v>
      </c>
      <c r="G718" s="338">
        <f t="shared" si="60"/>
        <v>1623.2393199999999</v>
      </c>
      <c r="H718" s="113">
        <f t="shared" si="59"/>
        <v>96.649577555358405</v>
      </c>
      <c r="I718" s="132"/>
      <c r="J718" s="132"/>
      <c r="K718" s="132"/>
    </row>
    <row r="719" spans="1:11" s="75" customFormat="1" ht="63" x14ac:dyDescent="0.25">
      <c r="A719" s="20" t="s">
        <v>1016</v>
      </c>
      <c r="B719" s="334" t="s">
        <v>145</v>
      </c>
      <c r="C719" s="334" t="s">
        <v>119</v>
      </c>
      <c r="D719" s="334" t="s">
        <v>1015</v>
      </c>
      <c r="E719" s="334"/>
      <c r="F719" s="337">
        <f t="shared" si="60"/>
        <v>1679.51</v>
      </c>
      <c r="G719" s="337">
        <f t="shared" si="60"/>
        <v>1623.2393199999999</v>
      </c>
      <c r="H719" s="114">
        <f t="shared" si="59"/>
        <v>96.649577555358405</v>
      </c>
      <c r="I719" s="132"/>
      <c r="J719" s="132"/>
      <c r="K719" s="132"/>
    </row>
    <row r="720" spans="1:11" s="75" customFormat="1" ht="31.5" x14ac:dyDescent="0.25">
      <c r="A720" s="20" t="s">
        <v>149</v>
      </c>
      <c r="B720" s="334" t="s">
        <v>145</v>
      </c>
      <c r="C720" s="334" t="s">
        <v>119</v>
      </c>
      <c r="D720" s="334" t="s">
        <v>1015</v>
      </c>
      <c r="E720" s="334" t="s">
        <v>150</v>
      </c>
      <c r="F720" s="337">
        <f t="shared" si="60"/>
        <v>1679.51</v>
      </c>
      <c r="G720" s="337">
        <f t="shared" si="60"/>
        <v>1623.2393199999999</v>
      </c>
      <c r="H720" s="114">
        <f t="shared" si="59"/>
        <v>96.649577555358405</v>
      </c>
      <c r="I720" s="132"/>
      <c r="J720" s="132"/>
      <c r="K720" s="132"/>
    </row>
    <row r="721" spans="1:11" s="110" customFormat="1" ht="15.75" x14ac:dyDescent="0.25">
      <c r="A721" s="20" t="s">
        <v>151</v>
      </c>
      <c r="B721" s="334" t="s">
        <v>145</v>
      </c>
      <c r="C721" s="334" t="s">
        <v>119</v>
      </c>
      <c r="D721" s="334" t="s">
        <v>1015</v>
      </c>
      <c r="E721" s="334" t="s">
        <v>152</v>
      </c>
      <c r="F721" s="337">
        <f>'Пр.4 Ведом23'!G829</f>
        <v>1679.51</v>
      </c>
      <c r="G721" s="337">
        <f>'Пр.4 Ведом23'!H829</f>
        <v>1623.2393199999999</v>
      </c>
      <c r="H721" s="114">
        <f t="shared" si="59"/>
        <v>96.649577555358405</v>
      </c>
      <c r="I721" s="132"/>
      <c r="J721" s="132"/>
      <c r="K721" s="132"/>
    </row>
    <row r="722" spans="1:11" s="131" customFormat="1" ht="66.599999999999994" customHeight="1" x14ac:dyDescent="0.25">
      <c r="A722" s="22" t="s">
        <v>1052</v>
      </c>
      <c r="B722" s="117" t="s">
        <v>145</v>
      </c>
      <c r="C722" s="117" t="s">
        <v>119</v>
      </c>
      <c r="D722" s="117" t="s">
        <v>1050</v>
      </c>
      <c r="E722" s="117"/>
      <c r="F722" s="338">
        <f t="shared" ref="F722:G724" si="61">F723</f>
        <v>131.60299999999998</v>
      </c>
      <c r="G722" s="338">
        <f t="shared" si="61"/>
        <v>131.50836000000001</v>
      </c>
      <c r="H722" s="113">
        <f t="shared" si="59"/>
        <v>99.928086745742903</v>
      </c>
      <c r="I722" s="214"/>
      <c r="J722" s="214"/>
      <c r="K722" s="214"/>
    </row>
    <row r="723" spans="1:11" s="131" customFormat="1" ht="78.75" x14ac:dyDescent="0.25">
      <c r="A723" s="335" t="s">
        <v>1017</v>
      </c>
      <c r="B723" s="334" t="s">
        <v>145</v>
      </c>
      <c r="C723" s="334" t="s">
        <v>119</v>
      </c>
      <c r="D723" s="334" t="s">
        <v>1051</v>
      </c>
      <c r="E723" s="334"/>
      <c r="F723" s="337">
        <f t="shared" si="61"/>
        <v>131.60299999999998</v>
      </c>
      <c r="G723" s="337">
        <f t="shared" si="61"/>
        <v>131.50836000000001</v>
      </c>
      <c r="H723" s="114">
        <f t="shared" si="59"/>
        <v>99.928086745742903</v>
      </c>
      <c r="I723" s="214"/>
      <c r="J723" s="214"/>
      <c r="K723" s="214"/>
    </row>
    <row r="724" spans="1:11" s="131" customFormat="1" ht="31.5" x14ac:dyDescent="0.25">
      <c r="A724" s="335" t="s">
        <v>149</v>
      </c>
      <c r="B724" s="334" t="s">
        <v>145</v>
      </c>
      <c r="C724" s="334" t="s">
        <v>119</v>
      </c>
      <c r="D724" s="334" t="s">
        <v>1051</v>
      </c>
      <c r="E724" s="334" t="s">
        <v>150</v>
      </c>
      <c r="F724" s="337">
        <f t="shared" si="61"/>
        <v>131.60299999999998</v>
      </c>
      <c r="G724" s="337">
        <f t="shared" si="61"/>
        <v>131.50836000000001</v>
      </c>
      <c r="H724" s="114">
        <f t="shared" si="59"/>
        <v>99.928086745742903</v>
      </c>
      <c r="I724" s="214"/>
      <c r="J724" s="214"/>
      <c r="K724" s="214"/>
    </row>
    <row r="725" spans="1:11" s="131" customFormat="1" ht="15.75" x14ac:dyDescent="0.25">
      <c r="A725" s="335" t="s">
        <v>151</v>
      </c>
      <c r="B725" s="334" t="s">
        <v>145</v>
      </c>
      <c r="C725" s="334" t="s">
        <v>119</v>
      </c>
      <c r="D725" s="334" t="s">
        <v>1051</v>
      </c>
      <c r="E725" s="334" t="s">
        <v>152</v>
      </c>
      <c r="F725" s="337">
        <f>'Пр.4 Ведом23'!G833</f>
        <v>131.60299999999998</v>
      </c>
      <c r="G725" s="337">
        <f>'Пр.4 Ведом23'!H833</f>
        <v>131.50836000000001</v>
      </c>
      <c r="H725" s="114">
        <f t="shared" si="59"/>
        <v>99.928086745742903</v>
      </c>
      <c r="I725" s="214"/>
      <c r="J725" s="214"/>
      <c r="K725" s="214"/>
    </row>
    <row r="726" spans="1:11" s="110" customFormat="1" ht="47.25" x14ac:dyDescent="0.25">
      <c r="A726" s="22" t="s">
        <v>894</v>
      </c>
      <c r="B726" s="117" t="s">
        <v>145</v>
      </c>
      <c r="C726" s="117" t="s">
        <v>119</v>
      </c>
      <c r="D726" s="117" t="s">
        <v>162</v>
      </c>
      <c r="E726" s="117"/>
      <c r="F726" s="338">
        <f t="shared" ref="F726:G729" si="62">F727</f>
        <v>40</v>
      </c>
      <c r="G726" s="338">
        <f t="shared" si="62"/>
        <v>40</v>
      </c>
      <c r="H726" s="113">
        <f t="shared" si="59"/>
        <v>100</v>
      </c>
      <c r="I726" s="132"/>
      <c r="J726" s="132"/>
      <c r="K726" s="132"/>
    </row>
    <row r="727" spans="1:11" s="110" customFormat="1" ht="63" x14ac:dyDescent="0.25">
      <c r="A727" s="22" t="s">
        <v>451</v>
      </c>
      <c r="B727" s="117" t="s">
        <v>145</v>
      </c>
      <c r="C727" s="117" t="s">
        <v>119</v>
      </c>
      <c r="D727" s="117" t="s">
        <v>372</v>
      </c>
      <c r="E727" s="117"/>
      <c r="F727" s="338">
        <f t="shared" si="62"/>
        <v>40</v>
      </c>
      <c r="G727" s="338">
        <f t="shared" si="62"/>
        <v>40</v>
      </c>
      <c r="H727" s="113">
        <f t="shared" si="59"/>
        <v>100</v>
      </c>
      <c r="I727" s="132"/>
      <c r="J727" s="132"/>
      <c r="K727" s="132"/>
    </row>
    <row r="728" spans="1:11" s="110" customFormat="1" ht="47.25" x14ac:dyDescent="0.25">
      <c r="A728" s="20" t="s">
        <v>494</v>
      </c>
      <c r="B728" s="334" t="s">
        <v>145</v>
      </c>
      <c r="C728" s="334" t="s">
        <v>119</v>
      </c>
      <c r="D728" s="334" t="s">
        <v>373</v>
      </c>
      <c r="E728" s="334"/>
      <c r="F728" s="337">
        <f t="shared" si="62"/>
        <v>40</v>
      </c>
      <c r="G728" s="337">
        <f t="shared" si="62"/>
        <v>40</v>
      </c>
      <c r="H728" s="114">
        <f t="shared" si="59"/>
        <v>100</v>
      </c>
      <c r="I728" s="132"/>
      <c r="J728" s="132"/>
      <c r="K728" s="132"/>
    </row>
    <row r="729" spans="1:11" s="112" customFormat="1" ht="31.5" x14ac:dyDescent="0.25">
      <c r="A729" s="20" t="s">
        <v>149</v>
      </c>
      <c r="B729" s="334" t="s">
        <v>145</v>
      </c>
      <c r="C729" s="334" t="s">
        <v>119</v>
      </c>
      <c r="D729" s="334" t="s">
        <v>373</v>
      </c>
      <c r="E729" s="334" t="s">
        <v>150</v>
      </c>
      <c r="F729" s="337">
        <f t="shared" si="62"/>
        <v>40</v>
      </c>
      <c r="G729" s="337">
        <f t="shared" si="62"/>
        <v>40</v>
      </c>
      <c r="H729" s="114">
        <f t="shared" si="59"/>
        <v>100</v>
      </c>
      <c r="I729" s="132"/>
      <c r="J729" s="132"/>
      <c r="K729" s="132"/>
    </row>
    <row r="730" spans="1:11" s="112" customFormat="1" ht="15.75" x14ac:dyDescent="0.25">
      <c r="A730" s="20" t="s">
        <v>151</v>
      </c>
      <c r="B730" s="334" t="s">
        <v>145</v>
      </c>
      <c r="C730" s="334" t="s">
        <v>119</v>
      </c>
      <c r="D730" s="334" t="s">
        <v>373</v>
      </c>
      <c r="E730" s="334" t="s">
        <v>152</v>
      </c>
      <c r="F730" s="337">
        <f>'Пр.4 Ведом23'!G838</f>
        <v>40</v>
      </c>
      <c r="G730" s="337">
        <f>'Пр.4 Ведом23'!H838</f>
        <v>40</v>
      </c>
      <c r="H730" s="114">
        <f t="shared" si="59"/>
        <v>100</v>
      </c>
      <c r="I730" s="132"/>
      <c r="J730" s="132"/>
      <c r="K730" s="132"/>
    </row>
    <row r="731" spans="1:11" s="112" customFormat="1" ht="47.25" x14ac:dyDescent="0.25">
      <c r="A731" s="130" t="s">
        <v>853</v>
      </c>
      <c r="B731" s="117" t="s">
        <v>145</v>
      </c>
      <c r="C731" s="117" t="s">
        <v>119</v>
      </c>
      <c r="D731" s="117" t="s">
        <v>259</v>
      </c>
      <c r="E731" s="119"/>
      <c r="F731" s="338">
        <f t="shared" ref="F731:G734" si="63">F732</f>
        <v>1686.4390000000001</v>
      </c>
      <c r="G731" s="338">
        <f t="shared" si="63"/>
        <v>1654.6885</v>
      </c>
      <c r="H731" s="113">
        <f t="shared" si="59"/>
        <v>98.117305161941815</v>
      </c>
      <c r="I731" s="132"/>
      <c r="J731" s="132"/>
      <c r="K731" s="132"/>
    </row>
    <row r="732" spans="1:11" s="112" customFormat="1" ht="47.25" x14ac:dyDescent="0.25">
      <c r="A732" s="130" t="s">
        <v>341</v>
      </c>
      <c r="B732" s="117" t="s">
        <v>145</v>
      </c>
      <c r="C732" s="117" t="s">
        <v>119</v>
      </c>
      <c r="D732" s="117" t="s">
        <v>339</v>
      </c>
      <c r="E732" s="119"/>
      <c r="F732" s="338">
        <f t="shared" si="63"/>
        <v>1686.4390000000001</v>
      </c>
      <c r="G732" s="338">
        <f t="shared" si="63"/>
        <v>1654.6885</v>
      </c>
      <c r="H732" s="113">
        <f t="shared" si="59"/>
        <v>98.117305161941815</v>
      </c>
      <c r="I732" s="132"/>
      <c r="J732" s="132"/>
      <c r="K732" s="132"/>
    </row>
    <row r="733" spans="1:11" ht="47.25" x14ac:dyDescent="0.25">
      <c r="A733" s="26" t="s">
        <v>274</v>
      </c>
      <c r="B733" s="334" t="s">
        <v>145</v>
      </c>
      <c r="C733" s="334" t="s">
        <v>119</v>
      </c>
      <c r="D733" s="334" t="s">
        <v>374</v>
      </c>
      <c r="E733" s="118"/>
      <c r="F733" s="342">
        <f t="shared" si="63"/>
        <v>1686.4390000000001</v>
      </c>
      <c r="G733" s="565">
        <f t="shared" si="63"/>
        <v>1654.6885</v>
      </c>
      <c r="H733" s="114">
        <f t="shared" si="59"/>
        <v>98.117305161941815</v>
      </c>
    </row>
    <row r="734" spans="1:11" ht="31.5" x14ac:dyDescent="0.25">
      <c r="A734" s="19" t="s">
        <v>149</v>
      </c>
      <c r="B734" s="334" t="s">
        <v>145</v>
      </c>
      <c r="C734" s="334" t="s">
        <v>119</v>
      </c>
      <c r="D734" s="334" t="s">
        <v>374</v>
      </c>
      <c r="E734" s="118" t="s">
        <v>150</v>
      </c>
      <c r="F734" s="342">
        <f t="shared" si="63"/>
        <v>1686.4390000000001</v>
      </c>
      <c r="G734" s="565">
        <f t="shared" si="63"/>
        <v>1654.6885</v>
      </c>
      <c r="H734" s="114">
        <f t="shared" si="59"/>
        <v>98.117305161941815</v>
      </c>
    </row>
    <row r="735" spans="1:11" ht="15.75" x14ac:dyDescent="0.25">
      <c r="A735" s="68" t="s">
        <v>151</v>
      </c>
      <c r="B735" s="334" t="s">
        <v>145</v>
      </c>
      <c r="C735" s="334" t="s">
        <v>119</v>
      </c>
      <c r="D735" s="334" t="s">
        <v>374</v>
      </c>
      <c r="E735" s="118" t="s">
        <v>152</v>
      </c>
      <c r="F735" s="342">
        <f>'Пр.4 Ведом23'!G843</f>
        <v>1686.4390000000001</v>
      </c>
      <c r="G735" s="565">
        <f>'Пр.4 Ведом23'!H843</f>
        <v>1654.6885</v>
      </c>
      <c r="H735" s="114">
        <f t="shared" si="59"/>
        <v>98.117305161941815</v>
      </c>
    </row>
    <row r="736" spans="1:11" ht="15.75" x14ac:dyDescent="0.25">
      <c r="A736" s="116" t="s">
        <v>146</v>
      </c>
      <c r="B736" s="117" t="s">
        <v>145</v>
      </c>
      <c r="C736" s="117" t="s">
        <v>120</v>
      </c>
      <c r="D736" s="117"/>
      <c r="E736" s="117"/>
      <c r="F736" s="343">
        <f>F737+F764+F799+F804</f>
        <v>60627.524369999992</v>
      </c>
      <c r="G736" s="566">
        <f>G737+G764+G799+G804</f>
        <v>60419.000180000003</v>
      </c>
      <c r="H736" s="113">
        <f t="shared" si="59"/>
        <v>99.656056894674776</v>
      </c>
    </row>
    <row r="737" spans="1:11" ht="47.25" x14ac:dyDescent="0.25">
      <c r="A737" s="116" t="s">
        <v>885</v>
      </c>
      <c r="B737" s="117" t="s">
        <v>145</v>
      </c>
      <c r="C737" s="117" t="s">
        <v>120</v>
      </c>
      <c r="D737" s="117" t="s">
        <v>189</v>
      </c>
      <c r="E737" s="117"/>
      <c r="F737" s="343">
        <f>F738+F745+F749+F753+F760</f>
        <v>39763.095109999987</v>
      </c>
      <c r="G737" s="566">
        <f>G738+G745+G749+G753+G760</f>
        <v>39652.278389999999</v>
      </c>
      <c r="H737" s="113">
        <f t="shared" si="59"/>
        <v>99.7213076102516</v>
      </c>
    </row>
    <row r="738" spans="1:11" ht="31.5" x14ac:dyDescent="0.25">
      <c r="A738" s="116" t="s">
        <v>375</v>
      </c>
      <c r="B738" s="117" t="s">
        <v>145</v>
      </c>
      <c r="C738" s="117" t="s">
        <v>120</v>
      </c>
      <c r="D738" s="117" t="s">
        <v>582</v>
      </c>
      <c r="E738" s="117"/>
      <c r="F738" s="343">
        <f>F739+F742</f>
        <v>36955.231999999989</v>
      </c>
      <c r="G738" s="566">
        <f>G739+G742</f>
        <v>36878.463380000001</v>
      </c>
      <c r="H738" s="113">
        <f t="shared" si="59"/>
        <v>99.792265896206558</v>
      </c>
    </row>
    <row r="739" spans="1:11" ht="47.25" x14ac:dyDescent="0.25">
      <c r="A739" s="335" t="s">
        <v>148</v>
      </c>
      <c r="B739" s="334" t="s">
        <v>145</v>
      </c>
      <c r="C739" s="334" t="s">
        <v>120</v>
      </c>
      <c r="D739" s="334" t="s">
        <v>598</v>
      </c>
      <c r="E739" s="334"/>
      <c r="F739" s="342">
        <f>F740</f>
        <v>36739.671999999991</v>
      </c>
      <c r="G739" s="565">
        <f>G740</f>
        <v>36662.903380000003</v>
      </c>
      <c r="H739" s="114">
        <f t="shared" si="59"/>
        <v>99.791047073038683</v>
      </c>
    </row>
    <row r="740" spans="1:11" ht="31.5" x14ac:dyDescent="0.25">
      <c r="A740" s="335" t="s">
        <v>149</v>
      </c>
      <c r="B740" s="334" t="s">
        <v>145</v>
      </c>
      <c r="C740" s="334" t="s">
        <v>120</v>
      </c>
      <c r="D740" s="334" t="s">
        <v>598</v>
      </c>
      <c r="E740" s="334" t="s">
        <v>150</v>
      </c>
      <c r="F740" s="342">
        <f>F741</f>
        <v>36739.671999999991</v>
      </c>
      <c r="G740" s="565">
        <f>G741</f>
        <v>36662.903380000003</v>
      </c>
      <c r="H740" s="114">
        <f t="shared" si="59"/>
        <v>99.791047073038683</v>
      </c>
    </row>
    <row r="741" spans="1:11" ht="15.75" x14ac:dyDescent="0.25">
      <c r="A741" s="335" t="s">
        <v>151</v>
      </c>
      <c r="B741" s="334" t="s">
        <v>145</v>
      </c>
      <c r="C741" s="334" t="s">
        <v>120</v>
      </c>
      <c r="D741" s="334" t="s">
        <v>598</v>
      </c>
      <c r="E741" s="334" t="s">
        <v>152</v>
      </c>
      <c r="F741" s="342">
        <f>'Пр.4 Ведом23'!G849</f>
        <v>36739.671999999991</v>
      </c>
      <c r="G741" s="565">
        <f>'Пр.4 Ведом23'!H849</f>
        <v>36662.903380000003</v>
      </c>
      <c r="H741" s="114">
        <f t="shared" si="59"/>
        <v>99.791047073038683</v>
      </c>
    </row>
    <row r="742" spans="1:11" s="332" customFormat="1" ht="31.5" x14ac:dyDescent="0.25">
      <c r="A742" s="335" t="s">
        <v>1118</v>
      </c>
      <c r="B742" s="334" t="s">
        <v>145</v>
      </c>
      <c r="C742" s="334" t="s">
        <v>120</v>
      </c>
      <c r="D742" s="334" t="s">
        <v>1121</v>
      </c>
      <c r="E742" s="334"/>
      <c r="F742" s="342">
        <f>F743</f>
        <v>215.56</v>
      </c>
      <c r="G742" s="565">
        <f>G743</f>
        <v>215.56</v>
      </c>
      <c r="H742" s="114">
        <f t="shared" si="59"/>
        <v>100</v>
      </c>
      <c r="I742" s="333"/>
      <c r="J742" s="333"/>
      <c r="K742" s="333"/>
    </row>
    <row r="743" spans="1:11" s="332" customFormat="1" ht="31.5" x14ac:dyDescent="0.25">
      <c r="A743" s="335" t="s">
        <v>149</v>
      </c>
      <c r="B743" s="334" t="s">
        <v>145</v>
      </c>
      <c r="C743" s="334" t="s">
        <v>120</v>
      </c>
      <c r="D743" s="334" t="s">
        <v>1121</v>
      </c>
      <c r="E743" s="334" t="s">
        <v>150</v>
      </c>
      <c r="F743" s="342">
        <f>F744</f>
        <v>215.56</v>
      </c>
      <c r="G743" s="565">
        <f>G744</f>
        <v>215.56</v>
      </c>
      <c r="H743" s="114">
        <f t="shared" si="59"/>
        <v>100</v>
      </c>
      <c r="I743" s="333"/>
      <c r="J743" s="333"/>
      <c r="K743" s="333"/>
    </row>
    <row r="744" spans="1:11" s="332" customFormat="1" ht="15.75" x14ac:dyDescent="0.25">
      <c r="A744" s="335" t="s">
        <v>151</v>
      </c>
      <c r="B744" s="334" t="s">
        <v>145</v>
      </c>
      <c r="C744" s="334" t="s">
        <v>120</v>
      </c>
      <c r="D744" s="334" t="s">
        <v>1121</v>
      </c>
      <c r="E744" s="334" t="s">
        <v>152</v>
      </c>
      <c r="F744" s="342">
        <f>'Пр.4 Ведом23'!G852</f>
        <v>215.56</v>
      </c>
      <c r="G744" s="565">
        <f>'Пр.4 Ведом23'!H852</f>
        <v>215.56</v>
      </c>
      <c r="H744" s="114">
        <f t="shared" si="59"/>
        <v>100</v>
      </c>
      <c r="I744" s="333"/>
      <c r="J744" s="333"/>
      <c r="K744" s="333"/>
    </row>
    <row r="745" spans="1:11" ht="47.25" x14ac:dyDescent="0.25">
      <c r="A745" s="116" t="s">
        <v>349</v>
      </c>
      <c r="B745" s="117" t="s">
        <v>145</v>
      </c>
      <c r="C745" s="117" t="s">
        <v>120</v>
      </c>
      <c r="D745" s="117" t="s">
        <v>584</v>
      </c>
      <c r="E745" s="117"/>
      <c r="F745" s="343">
        <f t="shared" ref="F745:G747" si="64">F746</f>
        <v>1819.9</v>
      </c>
      <c r="G745" s="566">
        <f t="shared" si="64"/>
        <v>1785.90571</v>
      </c>
      <c r="H745" s="113">
        <f t="shared" si="59"/>
        <v>98.132079235122802</v>
      </c>
    </row>
    <row r="746" spans="1:11" ht="47.25" x14ac:dyDescent="0.25">
      <c r="A746" s="335" t="s">
        <v>852</v>
      </c>
      <c r="B746" s="334" t="s">
        <v>145</v>
      </c>
      <c r="C746" s="334" t="s">
        <v>120</v>
      </c>
      <c r="D746" s="334" t="s">
        <v>763</v>
      </c>
      <c r="E746" s="334"/>
      <c r="F746" s="342">
        <f t="shared" si="64"/>
        <v>1819.9</v>
      </c>
      <c r="G746" s="565">
        <f t="shared" si="64"/>
        <v>1785.90571</v>
      </c>
      <c r="H746" s="114">
        <f t="shared" si="59"/>
        <v>98.132079235122802</v>
      </c>
    </row>
    <row r="747" spans="1:11" ht="31.5" x14ac:dyDescent="0.25">
      <c r="A747" s="335" t="s">
        <v>149</v>
      </c>
      <c r="B747" s="334" t="s">
        <v>145</v>
      </c>
      <c r="C747" s="334" t="s">
        <v>120</v>
      </c>
      <c r="D747" s="334" t="s">
        <v>763</v>
      </c>
      <c r="E747" s="334" t="s">
        <v>150</v>
      </c>
      <c r="F747" s="342">
        <f t="shared" si="64"/>
        <v>1819.9</v>
      </c>
      <c r="G747" s="565">
        <f t="shared" si="64"/>
        <v>1785.90571</v>
      </c>
      <c r="H747" s="114">
        <f t="shared" si="59"/>
        <v>98.132079235122802</v>
      </c>
    </row>
    <row r="748" spans="1:11" ht="15.75" x14ac:dyDescent="0.25">
      <c r="A748" s="335" t="s">
        <v>151</v>
      </c>
      <c r="B748" s="334" t="s">
        <v>145</v>
      </c>
      <c r="C748" s="334" t="s">
        <v>120</v>
      </c>
      <c r="D748" s="334" t="s">
        <v>763</v>
      </c>
      <c r="E748" s="334" t="s">
        <v>152</v>
      </c>
      <c r="F748" s="342">
        <f>'Пр.4 Ведом23'!G856</f>
        <v>1819.9</v>
      </c>
      <c r="G748" s="565">
        <f>'Пр.4 Ведом23'!H856</f>
        <v>1785.90571</v>
      </c>
      <c r="H748" s="114">
        <f t="shared" si="59"/>
        <v>98.132079235122802</v>
      </c>
    </row>
    <row r="749" spans="1:11" ht="31.5" hidden="1" customHeight="1" x14ac:dyDescent="0.25">
      <c r="A749" s="116" t="s">
        <v>617</v>
      </c>
      <c r="B749" s="117" t="s">
        <v>145</v>
      </c>
      <c r="C749" s="117" t="s">
        <v>120</v>
      </c>
      <c r="D749" s="117" t="s">
        <v>586</v>
      </c>
      <c r="E749" s="117"/>
      <c r="F749" s="305">
        <f t="shared" ref="F749:G751" si="65">F750</f>
        <v>0</v>
      </c>
      <c r="G749" s="305">
        <f t="shared" si="65"/>
        <v>0</v>
      </c>
      <c r="H749" s="114" t="e">
        <f t="shared" si="59"/>
        <v>#DIV/0!</v>
      </c>
    </row>
    <row r="750" spans="1:11" ht="31.5" hidden="1" customHeight="1" x14ac:dyDescent="0.25">
      <c r="A750" s="26" t="s">
        <v>263</v>
      </c>
      <c r="B750" s="334" t="s">
        <v>145</v>
      </c>
      <c r="C750" s="334" t="s">
        <v>120</v>
      </c>
      <c r="D750" s="334" t="s">
        <v>637</v>
      </c>
      <c r="E750" s="334"/>
      <c r="F750" s="303">
        <f t="shared" si="65"/>
        <v>0</v>
      </c>
      <c r="G750" s="303">
        <f t="shared" si="65"/>
        <v>0</v>
      </c>
      <c r="H750" s="114" t="e">
        <f t="shared" si="59"/>
        <v>#DIV/0!</v>
      </c>
    </row>
    <row r="751" spans="1:11" ht="31.5" hidden="1" customHeight="1" x14ac:dyDescent="0.25">
      <c r="A751" s="20" t="s">
        <v>149</v>
      </c>
      <c r="B751" s="334" t="s">
        <v>145</v>
      </c>
      <c r="C751" s="334" t="s">
        <v>120</v>
      </c>
      <c r="D751" s="334" t="s">
        <v>637</v>
      </c>
      <c r="E751" s="334" t="s">
        <v>150</v>
      </c>
      <c r="F751" s="342">
        <f t="shared" si="65"/>
        <v>0</v>
      </c>
      <c r="G751" s="565">
        <f t="shared" si="65"/>
        <v>0</v>
      </c>
      <c r="H751" s="114" t="e">
        <f t="shared" si="59"/>
        <v>#DIV/0!</v>
      </c>
    </row>
    <row r="752" spans="1:11" ht="15.75" hidden="1" customHeight="1" x14ac:dyDescent="0.25">
      <c r="A752" s="20" t="s">
        <v>151</v>
      </c>
      <c r="B752" s="334" t="s">
        <v>145</v>
      </c>
      <c r="C752" s="334" t="s">
        <v>120</v>
      </c>
      <c r="D752" s="334" t="s">
        <v>637</v>
      </c>
      <c r="E752" s="334" t="s">
        <v>152</v>
      </c>
      <c r="F752" s="342">
        <f>'Пр.4 Ведом23'!G860</f>
        <v>0</v>
      </c>
      <c r="G752" s="565">
        <f>'Пр.4 Ведом23'!H860</f>
        <v>0</v>
      </c>
      <c r="H752" s="114" t="e">
        <f t="shared" si="59"/>
        <v>#DIV/0!</v>
      </c>
    </row>
    <row r="753" spans="1:11" s="75" customFormat="1" ht="31.5" x14ac:dyDescent="0.25">
      <c r="A753" s="80" t="s">
        <v>381</v>
      </c>
      <c r="B753" s="117" t="s">
        <v>145</v>
      </c>
      <c r="C753" s="117" t="s">
        <v>120</v>
      </c>
      <c r="D753" s="117" t="s">
        <v>589</v>
      </c>
      <c r="E753" s="117"/>
      <c r="F753" s="273">
        <f>F757+F754</f>
        <v>987.96311000000003</v>
      </c>
      <c r="G753" s="273">
        <f>G757+G754</f>
        <v>987.90930000000003</v>
      </c>
      <c r="H753" s="113">
        <f t="shared" si="59"/>
        <v>99.994553440360747</v>
      </c>
      <c r="I753" s="132"/>
      <c r="J753" s="132"/>
      <c r="K753" s="132"/>
    </row>
    <row r="754" spans="1:11" s="131" customFormat="1" ht="31.5" x14ac:dyDescent="0.25">
      <c r="A754" s="310" t="s">
        <v>276</v>
      </c>
      <c r="B754" s="334" t="s">
        <v>145</v>
      </c>
      <c r="C754" s="334" t="s">
        <v>120</v>
      </c>
      <c r="D754" s="334" t="s">
        <v>597</v>
      </c>
      <c r="E754" s="334"/>
      <c r="F754" s="271">
        <f>F755</f>
        <v>26.5</v>
      </c>
      <c r="G754" s="271">
        <f>G755</f>
        <v>26.5</v>
      </c>
      <c r="H754" s="114">
        <f t="shared" si="59"/>
        <v>100</v>
      </c>
      <c r="I754" s="214"/>
      <c r="J754" s="214"/>
      <c r="K754" s="214"/>
    </row>
    <row r="755" spans="1:11" s="131" customFormat="1" ht="31.5" x14ac:dyDescent="0.25">
      <c r="A755" s="335" t="s">
        <v>149</v>
      </c>
      <c r="B755" s="334" t="s">
        <v>145</v>
      </c>
      <c r="C755" s="334" t="s">
        <v>120</v>
      </c>
      <c r="D755" s="334" t="s">
        <v>597</v>
      </c>
      <c r="E755" s="334" t="s">
        <v>150</v>
      </c>
      <c r="F755" s="271">
        <f>F756</f>
        <v>26.5</v>
      </c>
      <c r="G755" s="271">
        <f>G756</f>
        <v>26.5</v>
      </c>
      <c r="H755" s="114">
        <f t="shared" si="59"/>
        <v>100</v>
      </c>
      <c r="I755" s="214"/>
      <c r="J755" s="214"/>
      <c r="K755" s="214"/>
    </row>
    <row r="756" spans="1:11" s="131" customFormat="1" ht="15.75" x14ac:dyDescent="0.25">
      <c r="A756" s="20" t="s">
        <v>151</v>
      </c>
      <c r="B756" s="334" t="s">
        <v>145</v>
      </c>
      <c r="C756" s="334" t="s">
        <v>120</v>
      </c>
      <c r="D756" s="334" t="s">
        <v>597</v>
      </c>
      <c r="E756" s="334" t="s">
        <v>152</v>
      </c>
      <c r="F756" s="271">
        <f>'Пр.4 Ведом23'!G864</f>
        <v>26.5</v>
      </c>
      <c r="G756" s="271">
        <f>'Пр.4 Ведом23'!H864</f>
        <v>26.5</v>
      </c>
      <c r="H756" s="114">
        <f t="shared" si="59"/>
        <v>100</v>
      </c>
      <c r="I756" s="214"/>
      <c r="J756" s="214"/>
      <c r="K756" s="214"/>
    </row>
    <row r="757" spans="1:11" s="75" customFormat="1" ht="31.5" x14ac:dyDescent="0.25">
      <c r="A757" s="26" t="s">
        <v>261</v>
      </c>
      <c r="B757" s="334" t="s">
        <v>145</v>
      </c>
      <c r="C757" s="334" t="s">
        <v>120</v>
      </c>
      <c r="D757" s="334" t="s">
        <v>590</v>
      </c>
      <c r="E757" s="334"/>
      <c r="F757" s="271">
        <f>F758</f>
        <v>961.46311000000003</v>
      </c>
      <c r="G757" s="271">
        <f>G758</f>
        <v>961.40930000000003</v>
      </c>
      <c r="H757" s="114">
        <f t="shared" si="59"/>
        <v>99.994403321412932</v>
      </c>
      <c r="I757" s="132"/>
      <c r="J757" s="132"/>
      <c r="K757" s="132"/>
    </row>
    <row r="758" spans="1:11" s="75" customFormat="1" ht="31.5" x14ac:dyDescent="0.25">
      <c r="A758" s="335" t="s">
        <v>149</v>
      </c>
      <c r="B758" s="334" t="s">
        <v>145</v>
      </c>
      <c r="C758" s="334" t="s">
        <v>120</v>
      </c>
      <c r="D758" s="334" t="s">
        <v>590</v>
      </c>
      <c r="E758" s="334" t="s">
        <v>150</v>
      </c>
      <c r="F758" s="271">
        <f>F759</f>
        <v>961.46311000000003</v>
      </c>
      <c r="G758" s="271">
        <f>G759</f>
        <v>961.40930000000003</v>
      </c>
      <c r="H758" s="114">
        <f t="shared" si="59"/>
        <v>99.994403321412932</v>
      </c>
      <c r="I758" s="132"/>
      <c r="J758" s="132"/>
      <c r="K758" s="132"/>
    </row>
    <row r="759" spans="1:11" s="75" customFormat="1" ht="15.75" x14ac:dyDescent="0.25">
      <c r="A759" s="20" t="s">
        <v>151</v>
      </c>
      <c r="B759" s="334" t="s">
        <v>145</v>
      </c>
      <c r="C759" s="334" t="s">
        <v>120</v>
      </c>
      <c r="D759" s="334" t="s">
        <v>590</v>
      </c>
      <c r="E759" s="334" t="s">
        <v>152</v>
      </c>
      <c r="F759" s="342">
        <f>'Пр.4 Ведом23'!G867</f>
        <v>961.46311000000003</v>
      </c>
      <c r="G759" s="565">
        <f>'Пр.4 Ведом23'!H867</f>
        <v>961.40930000000003</v>
      </c>
      <c r="H759" s="114">
        <f t="shared" si="59"/>
        <v>99.994403321412932</v>
      </c>
      <c r="I759" s="132"/>
      <c r="J759" s="132"/>
      <c r="K759" s="132"/>
    </row>
    <row r="760" spans="1:11" s="332" customFormat="1" ht="47.25" hidden="1" customHeight="1" x14ac:dyDescent="0.25">
      <c r="A760" s="22" t="s">
        <v>727</v>
      </c>
      <c r="B760" s="117" t="s">
        <v>145</v>
      </c>
      <c r="C760" s="117" t="s">
        <v>120</v>
      </c>
      <c r="D760" s="117" t="s">
        <v>989</v>
      </c>
      <c r="E760" s="117"/>
      <c r="F760" s="343">
        <f t="shared" ref="F760:G762" si="66">F761</f>
        <v>0</v>
      </c>
      <c r="G760" s="566">
        <f t="shared" si="66"/>
        <v>0</v>
      </c>
      <c r="H760" s="114" t="e">
        <f t="shared" si="59"/>
        <v>#DIV/0!</v>
      </c>
      <c r="I760" s="333"/>
      <c r="J760" s="333"/>
      <c r="K760" s="333"/>
    </row>
    <row r="761" spans="1:11" s="332" customFormat="1" ht="47.25" hidden="1" customHeight="1" x14ac:dyDescent="0.25">
      <c r="A761" s="20" t="s">
        <v>740</v>
      </c>
      <c r="B761" s="334" t="s">
        <v>145</v>
      </c>
      <c r="C761" s="334" t="s">
        <v>120</v>
      </c>
      <c r="D761" s="334" t="s">
        <v>990</v>
      </c>
      <c r="E761" s="334"/>
      <c r="F761" s="342">
        <f t="shared" si="66"/>
        <v>0</v>
      </c>
      <c r="G761" s="565">
        <f t="shared" si="66"/>
        <v>0</v>
      </c>
      <c r="H761" s="114" t="e">
        <f t="shared" si="59"/>
        <v>#DIV/0!</v>
      </c>
      <c r="I761" s="333"/>
      <c r="J761" s="333"/>
      <c r="K761" s="333"/>
    </row>
    <row r="762" spans="1:11" s="332" customFormat="1" ht="31.5" hidden="1" customHeight="1" x14ac:dyDescent="0.25">
      <c r="A762" s="335" t="s">
        <v>149</v>
      </c>
      <c r="B762" s="334" t="s">
        <v>145</v>
      </c>
      <c r="C762" s="334" t="s">
        <v>120</v>
      </c>
      <c r="D762" s="334" t="s">
        <v>990</v>
      </c>
      <c r="E762" s="334" t="s">
        <v>150</v>
      </c>
      <c r="F762" s="342">
        <f t="shared" si="66"/>
        <v>0</v>
      </c>
      <c r="G762" s="565">
        <f t="shared" si="66"/>
        <v>0</v>
      </c>
      <c r="H762" s="114" t="e">
        <f t="shared" si="59"/>
        <v>#DIV/0!</v>
      </c>
      <c r="I762" s="333"/>
      <c r="J762" s="333"/>
      <c r="K762" s="333"/>
    </row>
    <row r="763" spans="1:11" s="332" customFormat="1" ht="78.75" hidden="1" customHeight="1" x14ac:dyDescent="0.25">
      <c r="A763" s="70" t="s">
        <v>1088</v>
      </c>
      <c r="B763" s="334" t="s">
        <v>145</v>
      </c>
      <c r="C763" s="334" t="s">
        <v>120</v>
      </c>
      <c r="D763" s="334" t="s">
        <v>990</v>
      </c>
      <c r="E763" s="334" t="s">
        <v>180</v>
      </c>
      <c r="F763" s="342">
        <f>'Пр.4 Ведом23'!G871</f>
        <v>0</v>
      </c>
      <c r="G763" s="565">
        <f>'Пр.4 Ведом23'!H871</f>
        <v>0</v>
      </c>
      <c r="H763" s="114" t="e">
        <f t="shared" si="59"/>
        <v>#DIV/0!</v>
      </c>
      <c r="I763" s="333"/>
      <c r="J763" s="333"/>
      <c r="K763" s="333"/>
    </row>
    <row r="764" spans="1:11" s="131" customFormat="1" ht="31.5" x14ac:dyDescent="0.25">
      <c r="A764" s="116" t="s">
        <v>891</v>
      </c>
      <c r="B764" s="117" t="s">
        <v>145</v>
      </c>
      <c r="C764" s="117" t="s">
        <v>120</v>
      </c>
      <c r="D764" s="117" t="s">
        <v>147</v>
      </c>
      <c r="E764" s="117"/>
      <c r="F764" s="343">
        <f>F765+F782+F791+F795</f>
        <v>19918.84678</v>
      </c>
      <c r="G764" s="566">
        <f>G765+G782+G791+G795</f>
        <v>19821.267350000002</v>
      </c>
      <c r="H764" s="113">
        <f t="shared" si="59"/>
        <v>99.510115062996647</v>
      </c>
      <c r="I764" s="214"/>
      <c r="J764" s="214"/>
      <c r="K764" s="214"/>
    </row>
    <row r="765" spans="1:11" s="131" customFormat="1" ht="31.5" x14ac:dyDescent="0.25">
      <c r="A765" s="116" t="s">
        <v>621</v>
      </c>
      <c r="B765" s="117" t="s">
        <v>145</v>
      </c>
      <c r="C765" s="117" t="s">
        <v>120</v>
      </c>
      <c r="D765" s="117" t="s">
        <v>560</v>
      </c>
      <c r="E765" s="117"/>
      <c r="F765" s="343">
        <f>F766+F773+F779+F776</f>
        <v>18303.034729999999</v>
      </c>
      <c r="G765" s="566">
        <f>G766+G773+G779+G776</f>
        <v>18303.034729999999</v>
      </c>
      <c r="H765" s="113">
        <f t="shared" si="59"/>
        <v>100</v>
      </c>
      <c r="I765" s="214"/>
      <c r="J765" s="214"/>
      <c r="K765" s="214"/>
    </row>
    <row r="766" spans="1:11" s="131" customFormat="1" ht="15.75" x14ac:dyDescent="0.25">
      <c r="A766" s="335" t="s">
        <v>282</v>
      </c>
      <c r="B766" s="334" t="s">
        <v>145</v>
      </c>
      <c r="C766" s="334" t="s">
        <v>120</v>
      </c>
      <c r="D766" s="334" t="s">
        <v>561</v>
      </c>
      <c r="E766" s="334"/>
      <c r="F766" s="342">
        <f>F767+F769+F771</f>
        <v>18079.56337</v>
      </c>
      <c r="G766" s="565">
        <f>G767+G769+G771</f>
        <v>18079.56337</v>
      </c>
      <c r="H766" s="114">
        <f t="shared" si="59"/>
        <v>100</v>
      </c>
      <c r="I766" s="214"/>
      <c r="J766" s="214"/>
      <c r="K766" s="214"/>
    </row>
    <row r="767" spans="1:11" s="131" customFormat="1" ht="78.75" x14ac:dyDescent="0.25">
      <c r="A767" s="335" t="s">
        <v>84</v>
      </c>
      <c r="B767" s="334" t="s">
        <v>145</v>
      </c>
      <c r="C767" s="334" t="s">
        <v>120</v>
      </c>
      <c r="D767" s="334" t="s">
        <v>561</v>
      </c>
      <c r="E767" s="334" t="s">
        <v>85</v>
      </c>
      <c r="F767" s="342">
        <f>F768</f>
        <v>15535.977930000001</v>
      </c>
      <c r="G767" s="565">
        <f>G768</f>
        <v>15535.977929999999</v>
      </c>
      <c r="H767" s="114">
        <f t="shared" si="59"/>
        <v>99.999999999999986</v>
      </c>
      <c r="I767" s="214"/>
      <c r="J767" s="214"/>
      <c r="K767" s="214"/>
    </row>
    <row r="768" spans="1:11" s="264" customFormat="1" ht="31.5" x14ac:dyDescent="0.25">
      <c r="A768" s="336" t="s">
        <v>168</v>
      </c>
      <c r="B768" s="334" t="s">
        <v>145</v>
      </c>
      <c r="C768" s="334" t="s">
        <v>120</v>
      </c>
      <c r="D768" s="334" t="s">
        <v>561</v>
      </c>
      <c r="E768" s="334" t="s">
        <v>117</v>
      </c>
      <c r="F768" s="342">
        <f>'Пр.4 Ведом23'!G367</f>
        <v>15535.977930000001</v>
      </c>
      <c r="G768" s="565">
        <f>'Пр.4 Ведом23'!H367</f>
        <v>15535.977929999999</v>
      </c>
      <c r="H768" s="114">
        <f t="shared" si="59"/>
        <v>99.999999999999986</v>
      </c>
    </row>
    <row r="769" spans="1:11" s="131" customFormat="1" ht="31.5" x14ac:dyDescent="0.25">
      <c r="A769" s="335" t="s">
        <v>88</v>
      </c>
      <c r="B769" s="334" t="s">
        <v>145</v>
      </c>
      <c r="C769" s="334" t="s">
        <v>120</v>
      </c>
      <c r="D769" s="334" t="s">
        <v>561</v>
      </c>
      <c r="E769" s="334" t="s">
        <v>89</v>
      </c>
      <c r="F769" s="342">
        <f>F770</f>
        <v>2505.4824399999998</v>
      </c>
      <c r="G769" s="565">
        <f>G770</f>
        <v>2505.4824400000002</v>
      </c>
      <c r="H769" s="114">
        <f t="shared" si="59"/>
        <v>100.00000000000003</v>
      </c>
      <c r="I769" s="214"/>
      <c r="J769" s="214"/>
      <c r="K769" s="214"/>
    </row>
    <row r="770" spans="1:11" s="264" customFormat="1" ht="31.5" customHeight="1" x14ac:dyDescent="0.25">
      <c r="A770" s="335" t="s">
        <v>90</v>
      </c>
      <c r="B770" s="334" t="s">
        <v>145</v>
      </c>
      <c r="C770" s="334" t="s">
        <v>120</v>
      </c>
      <c r="D770" s="334" t="s">
        <v>561</v>
      </c>
      <c r="E770" s="334" t="s">
        <v>91</v>
      </c>
      <c r="F770" s="342">
        <f>'Пр.4 Ведом23'!G369</f>
        <v>2505.4824399999998</v>
      </c>
      <c r="G770" s="565">
        <f>'Пр.4 Ведом23'!H369</f>
        <v>2505.4824400000002</v>
      </c>
      <c r="H770" s="114">
        <f t="shared" si="59"/>
        <v>100.00000000000003</v>
      </c>
    </row>
    <row r="771" spans="1:11" s="131" customFormat="1" ht="15.75" x14ac:dyDescent="0.25">
      <c r="A771" s="335" t="s">
        <v>92</v>
      </c>
      <c r="B771" s="334" t="s">
        <v>145</v>
      </c>
      <c r="C771" s="334" t="s">
        <v>120</v>
      </c>
      <c r="D771" s="334" t="s">
        <v>561</v>
      </c>
      <c r="E771" s="334" t="s">
        <v>98</v>
      </c>
      <c r="F771" s="342">
        <f>F772</f>
        <v>38.103000000000002</v>
      </c>
      <c r="G771" s="565">
        <f>G772</f>
        <v>38.103000000000002</v>
      </c>
      <c r="H771" s="114">
        <f t="shared" si="59"/>
        <v>100</v>
      </c>
      <c r="I771" s="214"/>
      <c r="J771" s="214"/>
      <c r="K771" s="214"/>
    </row>
    <row r="772" spans="1:11" s="131" customFormat="1" ht="15.75" x14ac:dyDescent="0.25">
      <c r="A772" s="335" t="s">
        <v>258</v>
      </c>
      <c r="B772" s="334" t="s">
        <v>145</v>
      </c>
      <c r="C772" s="334" t="s">
        <v>120</v>
      </c>
      <c r="D772" s="334" t="s">
        <v>561</v>
      </c>
      <c r="E772" s="334" t="s">
        <v>94</v>
      </c>
      <c r="F772" s="342">
        <f>'Пр.4 Ведом23'!G371</f>
        <v>38.103000000000002</v>
      </c>
      <c r="G772" s="565">
        <f>'Пр.4 Ведом23'!H371</f>
        <v>38.103000000000002</v>
      </c>
      <c r="H772" s="114">
        <f t="shared" si="59"/>
        <v>100</v>
      </c>
      <c r="I772" s="214"/>
      <c r="J772" s="214"/>
      <c r="K772" s="214"/>
    </row>
    <row r="773" spans="1:11" s="332" customFormat="1" ht="31.5" x14ac:dyDescent="0.25">
      <c r="A773" s="335" t="s">
        <v>1085</v>
      </c>
      <c r="B773" s="334" t="s">
        <v>145</v>
      </c>
      <c r="C773" s="334" t="s">
        <v>120</v>
      </c>
      <c r="D773" s="334" t="s">
        <v>1082</v>
      </c>
      <c r="E773" s="334"/>
      <c r="F773" s="342">
        <f>F774</f>
        <v>78.12</v>
      </c>
      <c r="G773" s="565">
        <f>G774</f>
        <v>78.12</v>
      </c>
      <c r="H773" s="114">
        <f t="shared" si="59"/>
        <v>100</v>
      </c>
      <c r="I773" s="333"/>
      <c r="J773" s="333"/>
      <c r="K773" s="333"/>
    </row>
    <row r="774" spans="1:11" s="332" customFormat="1" ht="78.75" x14ac:dyDescent="0.25">
      <c r="A774" s="335" t="s">
        <v>84</v>
      </c>
      <c r="B774" s="334" t="s">
        <v>145</v>
      </c>
      <c r="C774" s="334" t="s">
        <v>120</v>
      </c>
      <c r="D774" s="334" t="s">
        <v>1082</v>
      </c>
      <c r="E774" s="334" t="s">
        <v>85</v>
      </c>
      <c r="F774" s="342">
        <f>F775</f>
        <v>78.12</v>
      </c>
      <c r="G774" s="565">
        <f>G775</f>
        <v>78.12</v>
      </c>
      <c r="H774" s="114">
        <f t="shared" si="59"/>
        <v>100</v>
      </c>
      <c r="I774" s="333"/>
      <c r="J774" s="333"/>
      <c r="K774" s="333"/>
    </row>
    <row r="775" spans="1:11" s="332" customFormat="1" ht="31.5" x14ac:dyDescent="0.25">
      <c r="A775" s="336" t="s">
        <v>168</v>
      </c>
      <c r="B775" s="334" t="s">
        <v>145</v>
      </c>
      <c r="C775" s="334" t="s">
        <v>120</v>
      </c>
      <c r="D775" s="334" t="s">
        <v>1082</v>
      </c>
      <c r="E775" s="334" t="s">
        <v>117</v>
      </c>
      <c r="F775" s="342">
        <f>'Пр.4 Ведом23'!G374</f>
        <v>78.12</v>
      </c>
      <c r="G775" s="565">
        <f>'Пр.4 Ведом23'!H374</f>
        <v>78.12</v>
      </c>
      <c r="H775" s="114">
        <f t="shared" si="59"/>
        <v>100</v>
      </c>
      <c r="I775" s="333"/>
      <c r="J775" s="333"/>
      <c r="K775" s="333"/>
    </row>
    <row r="776" spans="1:11" s="332" customFormat="1" ht="39" customHeight="1" x14ac:dyDescent="0.25">
      <c r="A776" s="26" t="s">
        <v>1118</v>
      </c>
      <c r="B776" s="334" t="s">
        <v>145</v>
      </c>
      <c r="C776" s="334" t="s">
        <v>120</v>
      </c>
      <c r="D776" s="334" t="s">
        <v>1120</v>
      </c>
      <c r="E776" s="334"/>
      <c r="F776" s="342">
        <f>F777</f>
        <v>128.86000000000001</v>
      </c>
      <c r="G776" s="565">
        <f>G777</f>
        <v>128.86000000000001</v>
      </c>
      <c r="H776" s="114">
        <f t="shared" si="59"/>
        <v>100</v>
      </c>
      <c r="I776" s="333"/>
      <c r="J776" s="333"/>
      <c r="K776" s="333"/>
    </row>
    <row r="777" spans="1:11" s="332" customFormat="1" ht="78.75" x14ac:dyDescent="0.25">
      <c r="A777" s="26" t="s">
        <v>84</v>
      </c>
      <c r="B777" s="334" t="s">
        <v>145</v>
      </c>
      <c r="C777" s="334" t="s">
        <v>120</v>
      </c>
      <c r="D777" s="334" t="s">
        <v>1120</v>
      </c>
      <c r="E777" s="334" t="s">
        <v>85</v>
      </c>
      <c r="F777" s="342">
        <f>F778</f>
        <v>128.86000000000001</v>
      </c>
      <c r="G777" s="565">
        <f>G778</f>
        <v>128.86000000000001</v>
      </c>
      <c r="H777" s="114">
        <f t="shared" si="59"/>
        <v>100</v>
      </c>
      <c r="I777" s="333"/>
      <c r="J777" s="333"/>
      <c r="K777" s="333"/>
    </row>
    <row r="778" spans="1:11" s="332" customFormat="1" ht="31.5" x14ac:dyDescent="0.25">
      <c r="A778" s="26" t="s">
        <v>168</v>
      </c>
      <c r="B778" s="334" t="s">
        <v>145</v>
      </c>
      <c r="C778" s="334" t="s">
        <v>120</v>
      </c>
      <c r="D778" s="334" t="s">
        <v>1120</v>
      </c>
      <c r="E778" s="334" t="s">
        <v>117</v>
      </c>
      <c r="F778" s="342">
        <f>'Пр.4 Ведом23'!G377</f>
        <v>128.86000000000001</v>
      </c>
      <c r="G778" s="565">
        <f>'Пр.4 Ведом23'!H377</f>
        <v>128.86000000000001</v>
      </c>
      <c r="H778" s="114">
        <f t="shared" si="59"/>
        <v>100</v>
      </c>
      <c r="I778" s="333"/>
      <c r="J778" s="333"/>
      <c r="K778" s="333"/>
    </row>
    <row r="779" spans="1:11" s="332" customFormat="1" ht="53.25" customHeight="1" x14ac:dyDescent="0.25">
      <c r="A779" s="26" t="s">
        <v>1107</v>
      </c>
      <c r="B779" s="334" t="s">
        <v>145</v>
      </c>
      <c r="C779" s="334" t="s">
        <v>120</v>
      </c>
      <c r="D779" s="334" t="s">
        <v>1111</v>
      </c>
      <c r="E779" s="334"/>
      <c r="F779" s="342">
        <f>F780</f>
        <v>16.49136</v>
      </c>
      <c r="G779" s="565">
        <f>G780</f>
        <v>16.49136</v>
      </c>
      <c r="H779" s="114">
        <f t="shared" ref="H779:H842" si="67">G779/F779*100</f>
        <v>100</v>
      </c>
      <c r="I779" s="333"/>
      <c r="J779" s="333"/>
      <c r="K779" s="333"/>
    </row>
    <row r="780" spans="1:11" s="332" customFormat="1" ht="84" customHeight="1" x14ac:dyDescent="0.25">
      <c r="A780" s="26" t="s">
        <v>84</v>
      </c>
      <c r="B780" s="334" t="s">
        <v>145</v>
      </c>
      <c r="C780" s="334" t="s">
        <v>120</v>
      </c>
      <c r="D780" s="334" t="s">
        <v>1111</v>
      </c>
      <c r="E780" s="334" t="s">
        <v>85</v>
      </c>
      <c r="F780" s="342">
        <f>F781</f>
        <v>16.49136</v>
      </c>
      <c r="G780" s="565">
        <f>G781</f>
        <v>16.49136</v>
      </c>
      <c r="H780" s="114">
        <f t="shared" si="67"/>
        <v>100</v>
      </c>
      <c r="I780" s="333"/>
      <c r="J780" s="333"/>
      <c r="K780" s="333"/>
    </row>
    <row r="781" spans="1:11" s="332" customFormat="1" ht="31.5" x14ac:dyDescent="0.25">
      <c r="A781" s="26" t="s">
        <v>168</v>
      </c>
      <c r="B781" s="334" t="s">
        <v>145</v>
      </c>
      <c r="C781" s="334" t="s">
        <v>120</v>
      </c>
      <c r="D781" s="334" t="s">
        <v>1111</v>
      </c>
      <c r="E781" s="334" t="s">
        <v>117</v>
      </c>
      <c r="F781" s="342">
        <f>'Пр.4 Ведом23'!G380</f>
        <v>16.49136</v>
      </c>
      <c r="G781" s="565">
        <f>'Пр.4 Ведом23'!H380</f>
        <v>16.49136</v>
      </c>
      <c r="H781" s="114">
        <f t="shared" si="67"/>
        <v>100</v>
      </c>
      <c r="I781" s="333"/>
      <c r="J781" s="333"/>
      <c r="K781" s="333"/>
    </row>
    <row r="782" spans="1:11" s="131" customFormat="1" ht="31.5" x14ac:dyDescent="0.25">
      <c r="A782" s="213" t="s">
        <v>624</v>
      </c>
      <c r="B782" s="117" t="s">
        <v>145</v>
      </c>
      <c r="C782" s="117" t="s">
        <v>120</v>
      </c>
      <c r="D782" s="117" t="s">
        <v>562</v>
      </c>
      <c r="E782" s="117"/>
      <c r="F782" s="343">
        <f>F783+F786</f>
        <v>143.44499999999999</v>
      </c>
      <c r="G782" s="566">
        <f>G783+G786</f>
        <v>143.44499999999999</v>
      </c>
      <c r="H782" s="113">
        <f t="shared" si="67"/>
        <v>100</v>
      </c>
      <c r="I782" s="214"/>
      <c r="J782" s="214"/>
      <c r="K782" s="214"/>
    </row>
    <row r="783" spans="1:11" s="131" customFormat="1" ht="31.5" x14ac:dyDescent="0.25">
      <c r="A783" s="26" t="s">
        <v>281</v>
      </c>
      <c r="B783" s="334" t="s">
        <v>145</v>
      </c>
      <c r="C783" s="334" t="s">
        <v>120</v>
      </c>
      <c r="D783" s="334" t="s">
        <v>563</v>
      </c>
      <c r="E783" s="334"/>
      <c r="F783" s="342">
        <f>F784</f>
        <v>45.6</v>
      </c>
      <c r="G783" s="565">
        <f>G784</f>
        <v>45.6</v>
      </c>
      <c r="H783" s="114">
        <f t="shared" si="67"/>
        <v>100</v>
      </c>
      <c r="I783" s="214"/>
      <c r="J783" s="214"/>
      <c r="K783" s="214"/>
    </row>
    <row r="784" spans="1:11" s="131" customFormat="1" ht="31.5" x14ac:dyDescent="0.25">
      <c r="A784" s="335" t="s">
        <v>137</v>
      </c>
      <c r="B784" s="334" t="s">
        <v>145</v>
      </c>
      <c r="C784" s="334" t="s">
        <v>120</v>
      </c>
      <c r="D784" s="334" t="s">
        <v>563</v>
      </c>
      <c r="E784" s="334" t="s">
        <v>138</v>
      </c>
      <c r="F784" s="342">
        <f>F785</f>
        <v>45.6</v>
      </c>
      <c r="G784" s="565">
        <f>G785</f>
        <v>45.6</v>
      </c>
      <c r="H784" s="114">
        <f t="shared" si="67"/>
        <v>100</v>
      </c>
      <c r="I784" s="214"/>
      <c r="J784" s="214"/>
      <c r="K784" s="214"/>
    </row>
    <row r="785" spans="1:11" s="131" customFormat="1" ht="15.75" x14ac:dyDescent="0.25">
      <c r="A785" s="335" t="s">
        <v>294</v>
      </c>
      <c r="B785" s="334" t="s">
        <v>145</v>
      </c>
      <c r="C785" s="334" t="s">
        <v>120</v>
      </c>
      <c r="D785" s="334" t="s">
        <v>563</v>
      </c>
      <c r="E785" s="334" t="s">
        <v>293</v>
      </c>
      <c r="F785" s="342">
        <f>'Пр.4 Ведом23'!G384</f>
        <v>45.6</v>
      </c>
      <c r="G785" s="565">
        <f>'Пр.4 Ведом23'!H384</f>
        <v>45.6</v>
      </c>
      <c r="H785" s="114">
        <f t="shared" si="67"/>
        <v>100</v>
      </c>
      <c r="I785" s="214"/>
      <c r="J785" s="214"/>
      <c r="K785" s="214"/>
    </row>
    <row r="786" spans="1:11" s="131" customFormat="1" ht="31.5" x14ac:dyDescent="0.25">
      <c r="A786" s="20" t="s">
        <v>290</v>
      </c>
      <c r="B786" s="334" t="s">
        <v>145</v>
      </c>
      <c r="C786" s="334" t="s">
        <v>120</v>
      </c>
      <c r="D786" s="334" t="s">
        <v>564</v>
      </c>
      <c r="E786" s="334"/>
      <c r="F786" s="342">
        <f>F787</f>
        <v>97.844999999999999</v>
      </c>
      <c r="G786" s="565">
        <f>G787</f>
        <v>97.844999999999999</v>
      </c>
      <c r="H786" s="114">
        <f t="shared" si="67"/>
        <v>100</v>
      </c>
      <c r="I786" s="214"/>
      <c r="J786" s="214"/>
      <c r="K786" s="214"/>
    </row>
    <row r="787" spans="1:11" s="131" customFormat="1" ht="78.75" x14ac:dyDescent="0.25">
      <c r="A787" s="335" t="s">
        <v>84</v>
      </c>
      <c r="B787" s="334" t="s">
        <v>145</v>
      </c>
      <c r="C787" s="334" t="s">
        <v>120</v>
      </c>
      <c r="D787" s="334" t="s">
        <v>564</v>
      </c>
      <c r="E787" s="334" t="s">
        <v>85</v>
      </c>
      <c r="F787" s="342">
        <f>F788</f>
        <v>97.844999999999999</v>
      </c>
      <c r="G787" s="565">
        <f>G788</f>
        <v>97.844999999999999</v>
      </c>
      <c r="H787" s="114">
        <f t="shared" si="67"/>
        <v>100</v>
      </c>
      <c r="I787" s="214"/>
      <c r="J787" s="214"/>
      <c r="K787" s="214"/>
    </row>
    <row r="788" spans="1:11" s="131" customFormat="1" ht="31.5" x14ac:dyDescent="0.25">
      <c r="A788" s="336" t="s">
        <v>168</v>
      </c>
      <c r="B788" s="334" t="s">
        <v>145</v>
      </c>
      <c r="C788" s="334" t="s">
        <v>120</v>
      </c>
      <c r="D788" s="334" t="s">
        <v>564</v>
      </c>
      <c r="E788" s="334" t="s">
        <v>117</v>
      </c>
      <c r="F788" s="342">
        <f>'Пр.4 Ведом23'!G387</f>
        <v>97.844999999999999</v>
      </c>
      <c r="G788" s="565">
        <f>'Пр.4 Ведом23'!H387</f>
        <v>97.844999999999999</v>
      </c>
      <c r="H788" s="114">
        <f t="shared" si="67"/>
        <v>100</v>
      </c>
      <c r="I788" s="214"/>
      <c r="J788" s="214"/>
      <c r="K788" s="214"/>
    </row>
    <row r="789" spans="1:11" s="131" customFormat="1" ht="31.5" hidden="1" customHeight="1" x14ac:dyDescent="0.25">
      <c r="A789" s="335" t="s">
        <v>88</v>
      </c>
      <c r="B789" s="334" t="s">
        <v>145</v>
      </c>
      <c r="C789" s="334" t="s">
        <v>120</v>
      </c>
      <c r="D789" s="334" t="s">
        <v>564</v>
      </c>
      <c r="E789" s="334" t="s">
        <v>89</v>
      </c>
      <c r="F789" s="342">
        <f>F790</f>
        <v>0</v>
      </c>
      <c r="G789" s="565">
        <f>G790</f>
        <v>0</v>
      </c>
      <c r="H789" s="114" t="e">
        <f t="shared" si="67"/>
        <v>#DIV/0!</v>
      </c>
      <c r="I789" s="214"/>
      <c r="J789" s="214"/>
      <c r="K789" s="214"/>
    </row>
    <row r="790" spans="1:11" s="131" customFormat="1" ht="31.5" hidden="1" customHeight="1" x14ac:dyDescent="0.25">
      <c r="A790" s="335" t="s">
        <v>90</v>
      </c>
      <c r="B790" s="334" t="s">
        <v>145</v>
      </c>
      <c r="C790" s="334" t="s">
        <v>120</v>
      </c>
      <c r="D790" s="334" t="s">
        <v>564</v>
      </c>
      <c r="E790" s="334" t="s">
        <v>91</v>
      </c>
      <c r="F790" s="342">
        <f>'Пр.4 Ведом23'!G389</f>
        <v>0</v>
      </c>
      <c r="G790" s="565">
        <f>'Пр.4 Ведом23'!H389</f>
        <v>0</v>
      </c>
      <c r="H790" s="114" t="e">
        <f t="shared" si="67"/>
        <v>#DIV/0!</v>
      </c>
      <c r="I790" s="214"/>
      <c r="J790" s="214"/>
      <c r="K790" s="214"/>
    </row>
    <row r="791" spans="1:11" s="131" customFormat="1" ht="31.5" x14ac:dyDescent="0.25">
      <c r="A791" s="116" t="s">
        <v>380</v>
      </c>
      <c r="B791" s="117" t="s">
        <v>145</v>
      </c>
      <c r="C791" s="117" t="s">
        <v>120</v>
      </c>
      <c r="D791" s="117" t="s">
        <v>565</v>
      </c>
      <c r="E791" s="117"/>
      <c r="F791" s="343">
        <f t="shared" ref="F791:G793" si="68">F792</f>
        <v>465.06704999999999</v>
      </c>
      <c r="G791" s="566">
        <f t="shared" si="68"/>
        <v>465.06704999999999</v>
      </c>
      <c r="H791" s="113">
        <f t="shared" si="67"/>
        <v>100</v>
      </c>
      <c r="I791" s="214"/>
      <c r="J791" s="214"/>
      <c r="K791" s="214"/>
    </row>
    <row r="792" spans="1:11" s="131" customFormat="1" ht="47.25" x14ac:dyDescent="0.25">
      <c r="A792" s="335" t="s">
        <v>304</v>
      </c>
      <c r="B792" s="334" t="s">
        <v>145</v>
      </c>
      <c r="C792" s="334" t="s">
        <v>120</v>
      </c>
      <c r="D792" s="334" t="s">
        <v>566</v>
      </c>
      <c r="E792" s="334"/>
      <c r="F792" s="342">
        <f t="shared" si="68"/>
        <v>465.06704999999999</v>
      </c>
      <c r="G792" s="565">
        <f t="shared" si="68"/>
        <v>465.06704999999999</v>
      </c>
      <c r="H792" s="114">
        <f t="shared" si="67"/>
        <v>100</v>
      </c>
      <c r="I792" s="214"/>
      <c r="J792" s="214"/>
      <c r="K792" s="214"/>
    </row>
    <row r="793" spans="1:11" s="131" customFormat="1" ht="78.75" x14ac:dyDescent="0.25">
      <c r="A793" s="335" t="s">
        <v>84</v>
      </c>
      <c r="B793" s="334" t="s">
        <v>145</v>
      </c>
      <c r="C793" s="334" t="s">
        <v>120</v>
      </c>
      <c r="D793" s="334" t="s">
        <v>566</v>
      </c>
      <c r="E793" s="334" t="s">
        <v>85</v>
      </c>
      <c r="F793" s="342">
        <f t="shared" si="68"/>
        <v>465.06704999999999</v>
      </c>
      <c r="G793" s="565">
        <f t="shared" si="68"/>
        <v>465.06704999999999</v>
      </c>
      <c r="H793" s="114">
        <f t="shared" si="67"/>
        <v>100</v>
      </c>
      <c r="I793" s="214"/>
      <c r="J793" s="214"/>
      <c r="K793" s="214"/>
    </row>
    <row r="794" spans="1:11" s="131" customFormat="1" ht="31.5" x14ac:dyDescent="0.25">
      <c r="A794" s="335" t="s">
        <v>168</v>
      </c>
      <c r="B794" s="334" t="s">
        <v>145</v>
      </c>
      <c r="C794" s="334" t="s">
        <v>120</v>
      </c>
      <c r="D794" s="334" t="s">
        <v>566</v>
      </c>
      <c r="E794" s="334" t="s">
        <v>117</v>
      </c>
      <c r="F794" s="342">
        <f>'Пр.4 Ведом23'!G393</f>
        <v>465.06704999999999</v>
      </c>
      <c r="G794" s="565">
        <f>'Пр.4 Ведом23'!H393</f>
        <v>465.06704999999999</v>
      </c>
      <c r="H794" s="114">
        <f t="shared" si="67"/>
        <v>100</v>
      </c>
      <c r="I794" s="214"/>
      <c r="J794" s="214"/>
      <c r="K794" s="214"/>
    </row>
    <row r="795" spans="1:11" s="131" customFormat="1" ht="47.25" x14ac:dyDescent="0.25">
      <c r="A795" s="116" t="s">
        <v>349</v>
      </c>
      <c r="B795" s="117" t="s">
        <v>145</v>
      </c>
      <c r="C795" s="117" t="s">
        <v>120</v>
      </c>
      <c r="D795" s="117" t="s">
        <v>567</v>
      </c>
      <c r="E795" s="117"/>
      <c r="F795" s="343">
        <f t="shared" ref="F795:G797" si="69">F796</f>
        <v>1007.3000000000001</v>
      </c>
      <c r="G795" s="566">
        <f t="shared" si="69"/>
        <v>909.72056999999995</v>
      </c>
      <c r="H795" s="113">
        <f t="shared" si="67"/>
        <v>90.312773751613221</v>
      </c>
      <c r="I795" s="214"/>
      <c r="J795" s="214"/>
      <c r="K795" s="214"/>
    </row>
    <row r="796" spans="1:11" s="131" customFormat="1" ht="47.25" x14ac:dyDescent="0.25">
      <c r="A796" s="335" t="s">
        <v>852</v>
      </c>
      <c r="B796" s="334" t="s">
        <v>145</v>
      </c>
      <c r="C796" s="334" t="s">
        <v>120</v>
      </c>
      <c r="D796" s="334" t="s">
        <v>764</v>
      </c>
      <c r="E796" s="334"/>
      <c r="F796" s="342">
        <f t="shared" si="69"/>
        <v>1007.3000000000001</v>
      </c>
      <c r="G796" s="565">
        <f t="shared" si="69"/>
        <v>909.72056999999995</v>
      </c>
      <c r="H796" s="114">
        <f t="shared" si="67"/>
        <v>90.312773751613221</v>
      </c>
      <c r="I796" s="214"/>
      <c r="J796" s="214"/>
      <c r="K796" s="214"/>
    </row>
    <row r="797" spans="1:11" s="131" customFormat="1" ht="78.75" x14ac:dyDescent="0.25">
      <c r="A797" s="335" t="s">
        <v>84</v>
      </c>
      <c r="B797" s="334" t="s">
        <v>145</v>
      </c>
      <c r="C797" s="334" t="s">
        <v>120</v>
      </c>
      <c r="D797" s="334" t="s">
        <v>764</v>
      </c>
      <c r="E797" s="334" t="s">
        <v>85</v>
      </c>
      <c r="F797" s="342">
        <f t="shared" si="69"/>
        <v>1007.3000000000001</v>
      </c>
      <c r="G797" s="565">
        <f t="shared" si="69"/>
        <v>909.72056999999995</v>
      </c>
      <c r="H797" s="114">
        <f t="shared" si="67"/>
        <v>90.312773751613221</v>
      </c>
      <c r="I797" s="214"/>
      <c r="J797" s="214"/>
      <c r="K797" s="214"/>
    </row>
    <row r="798" spans="1:11" s="131" customFormat="1" ht="31.5" x14ac:dyDescent="0.25">
      <c r="A798" s="336" t="s">
        <v>168</v>
      </c>
      <c r="B798" s="334" t="s">
        <v>145</v>
      </c>
      <c r="C798" s="334" t="s">
        <v>120</v>
      </c>
      <c r="D798" s="334" t="s">
        <v>764</v>
      </c>
      <c r="E798" s="334" t="s">
        <v>117</v>
      </c>
      <c r="F798" s="342">
        <f>'Пр.4 Ведом23'!G397</f>
        <v>1007.3000000000001</v>
      </c>
      <c r="G798" s="565">
        <f>'Пр.4 Ведом23'!H397</f>
        <v>909.72056999999995</v>
      </c>
      <c r="H798" s="114">
        <f t="shared" si="67"/>
        <v>90.312773751613221</v>
      </c>
      <c r="I798" s="214"/>
      <c r="J798" s="214"/>
      <c r="K798" s="214"/>
    </row>
    <row r="799" spans="1:11" s="131" customFormat="1" ht="47.25" x14ac:dyDescent="0.25">
      <c r="A799" s="22" t="s">
        <v>894</v>
      </c>
      <c r="B799" s="117" t="s">
        <v>145</v>
      </c>
      <c r="C799" s="117" t="s">
        <v>120</v>
      </c>
      <c r="D799" s="117" t="s">
        <v>162</v>
      </c>
      <c r="E799" s="117"/>
      <c r="F799" s="343">
        <f t="shared" ref="F799:G802" si="70">F800</f>
        <v>59.94</v>
      </c>
      <c r="G799" s="566">
        <f t="shared" si="70"/>
        <v>59.94</v>
      </c>
      <c r="H799" s="113">
        <f t="shared" si="67"/>
        <v>100</v>
      </c>
      <c r="I799" s="214"/>
      <c r="J799" s="214"/>
      <c r="K799" s="214"/>
    </row>
    <row r="800" spans="1:11" s="131" customFormat="1" ht="63" x14ac:dyDescent="0.25">
      <c r="A800" s="22" t="s">
        <v>452</v>
      </c>
      <c r="B800" s="117" t="s">
        <v>145</v>
      </c>
      <c r="C800" s="117" t="s">
        <v>120</v>
      </c>
      <c r="D800" s="117" t="s">
        <v>372</v>
      </c>
      <c r="E800" s="117"/>
      <c r="F800" s="343">
        <f t="shared" si="70"/>
        <v>59.94</v>
      </c>
      <c r="G800" s="566">
        <f t="shared" si="70"/>
        <v>59.94</v>
      </c>
      <c r="H800" s="113">
        <f t="shared" si="67"/>
        <v>100</v>
      </c>
      <c r="I800" s="214"/>
      <c r="J800" s="214"/>
      <c r="K800" s="214"/>
    </row>
    <row r="801" spans="1:11" s="131" customFormat="1" ht="47.25" x14ac:dyDescent="0.25">
      <c r="A801" s="20" t="s">
        <v>493</v>
      </c>
      <c r="B801" s="334" t="s">
        <v>145</v>
      </c>
      <c r="C801" s="334" t="s">
        <v>120</v>
      </c>
      <c r="D801" s="334" t="s">
        <v>453</v>
      </c>
      <c r="E801" s="334"/>
      <c r="F801" s="342">
        <f t="shared" si="70"/>
        <v>59.94</v>
      </c>
      <c r="G801" s="565">
        <f t="shared" si="70"/>
        <v>59.94</v>
      </c>
      <c r="H801" s="114">
        <f t="shared" si="67"/>
        <v>100</v>
      </c>
      <c r="I801" s="214"/>
      <c r="J801" s="214"/>
      <c r="K801" s="214"/>
    </row>
    <row r="802" spans="1:11" s="131" customFormat="1" ht="31.5" x14ac:dyDescent="0.25">
      <c r="A802" s="335" t="s">
        <v>88</v>
      </c>
      <c r="B802" s="334" t="s">
        <v>145</v>
      </c>
      <c r="C802" s="334" t="s">
        <v>120</v>
      </c>
      <c r="D802" s="334" t="s">
        <v>453</v>
      </c>
      <c r="E802" s="334" t="s">
        <v>89</v>
      </c>
      <c r="F802" s="342">
        <f t="shared" si="70"/>
        <v>59.94</v>
      </c>
      <c r="G802" s="565">
        <f t="shared" si="70"/>
        <v>59.94</v>
      </c>
      <c r="H802" s="114">
        <f t="shared" si="67"/>
        <v>100</v>
      </c>
      <c r="I802" s="214"/>
      <c r="J802" s="214"/>
      <c r="K802" s="214"/>
    </row>
    <row r="803" spans="1:11" s="131" customFormat="1" ht="31.5" customHeight="1" x14ac:dyDescent="0.25">
      <c r="A803" s="335" t="s">
        <v>90</v>
      </c>
      <c r="B803" s="334" t="s">
        <v>145</v>
      </c>
      <c r="C803" s="334" t="s">
        <v>120</v>
      </c>
      <c r="D803" s="334" t="s">
        <v>453</v>
      </c>
      <c r="E803" s="334" t="s">
        <v>91</v>
      </c>
      <c r="F803" s="342">
        <f>'Пр.4 Ведом23'!G402</f>
        <v>59.94</v>
      </c>
      <c r="G803" s="565">
        <f>'Пр.4 Ведом23'!H402</f>
        <v>59.94</v>
      </c>
      <c r="H803" s="114">
        <f t="shared" si="67"/>
        <v>100</v>
      </c>
      <c r="I803" s="214"/>
      <c r="J803" s="214"/>
      <c r="K803" s="214"/>
    </row>
    <row r="804" spans="1:11" s="75" customFormat="1" ht="47.25" x14ac:dyDescent="0.25">
      <c r="A804" s="130" t="s">
        <v>639</v>
      </c>
      <c r="B804" s="117" t="s">
        <v>145</v>
      </c>
      <c r="C804" s="117" t="s">
        <v>120</v>
      </c>
      <c r="D804" s="117" t="s">
        <v>259</v>
      </c>
      <c r="E804" s="119"/>
      <c r="F804" s="343">
        <f>F805</f>
        <v>885.64247999999998</v>
      </c>
      <c r="G804" s="566">
        <f>G805</f>
        <v>885.51444000000004</v>
      </c>
      <c r="H804" s="113">
        <f t="shared" si="67"/>
        <v>99.98554269890036</v>
      </c>
      <c r="I804" s="132"/>
      <c r="J804" s="132"/>
      <c r="K804" s="132"/>
    </row>
    <row r="805" spans="1:11" s="75" customFormat="1" ht="47.25" x14ac:dyDescent="0.25">
      <c r="A805" s="130" t="s">
        <v>341</v>
      </c>
      <c r="B805" s="117" t="s">
        <v>145</v>
      </c>
      <c r="C805" s="117" t="s">
        <v>376</v>
      </c>
      <c r="D805" s="117" t="s">
        <v>339</v>
      </c>
      <c r="E805" s="119"/>
      <c r="F805" s="343">
        <f>F809+F806</f>
        <v>885.64247999999998</v>
      </c>
      <c r="G805" s="566">
        <f>G809+G806</f>
        <v>885.51444000000004</v>
      </c>
      <c r="H805" s="113">
        <f t="shared" si="67"/>
        <v>99.98554269890036</v>
      </c>
      <c r="I805" s="132"/>
      <c r="J805" s="132"/>
      <c r="K805" s="132"/>
    </row>
    <row r="806" spans="1:11" s="131" customFormat="1" ht="47.25" x14ac:dyDescent="0.25">
      <c r="A806" s="26" t="s">
        <v>433</v>
      </c>
      <c r="B806" s="334" t="s">
        <v>145</v>
      </c>
      <c r="C806" s="334" t="s">
        <v>120</v>
      </c>
      <c r="D806" s="334" t="s">
        <v>340</v>
      </c>
      <c r="E806" s="118"/>
      <c r="F806" s="337">
        <f>F807</f>
        <v>315.72247999999996</v>
      </c>
      <c r="G806" s="337">
        <f>G807</f>
        <v>315.72248000000002</v>
      </c>
      <c r="H806" s="114">
        <f t="shared" si="67"/>
        <v>100.00000000000003</v>
      </c>
      <c r="I806" s="214"/>
      <c r="J806" s="214"/>
      <c r="K806" s="214"/>
    </row>
    <row r="807" spans="1:11" s="131" customFormat="1" ht="31.5" x14ac:dyDescent="0.25">
      <c r="A807" s="335" t="s">
        <v>88</v>
      </c>
      <c r="B807" s="334" t="s">
        <v>145</v>
      </c>
      <c r="C807" s="334" t="s">
        <v>120</v>
      </c>
      <c r="D807" s="334" t="s">
        <v>340</v>
      </c>
      <c r="E807" s="118" t="s">
        <v>89</v>
      </c>
      <c r="F807" s="337">
        <f t="shared" ref="F807:G807" si="71">F808</f>
        <v>315.72247999999996</v>
      </c>
      <c r="G807" s="337">
        <f t="shared" si="71"/>
        <v>315.72248000000002</v>
      </c>
      <c r="H807" s="114">
        <f t="shared" si="67"/>
        <v>100.00000000000003</v>
      </c>
      <c r="I807" s="214"/>
      <c r="J807" s="214"/>
      <c r="K807" s="214"/>
    </row>
    <row r="808" spans="1:11" s="131" customFormat="1" ht="31.5" customHeight="1" x14ac:dyDescent="0.25">
      <c r="A808" s="335" t="s">
        <v>90</v>
      </c>
      <c r="B808" s="334" t="s">
        <v>145</v>
      </c>
      <c r="C808" s="334" t="s">
        <v>120</v>
      </c>
      <c r="D808" s="334" t="s">
        <v>340</v>
      </c>
      <c r="E808" s="118" t="s">
        <v>91</v>
      </c>
      <c r="F808" s="337">
        <f>'Пр.4 Ведом23'!G407</f>
        <v>315.72247999999996</v>
      </c>
      <c r="G808" s="337">
        <f>'Пр.4 Ведом23'!H407</f>
        <v>315.72248000000002</v>
      </c>
      <c r="H808" s="114">
        <f t="shared" si="67"/>
        <v>100.00000000000003</v>
      </c>
      <c r="I808" s="214"/>
      <c r="J808" s="214"/>
      <c r="K808" s="214"/>
    </row>
    <row r="809" spans="1:11" ht="47.25" x14ac:dyDescent="0.25">
      <c r="A809" s="26" t="s">
        <v>274</v>
      </c>
      <c r="B809" s="334" t="s">
        <v>145</v>
      </c>
      <c r="C809" s="334" t="s">
        <v>120</v>
      </c>
      <c r="D809" s="334" t="s">
        <v>374</v>
      </c>
      <c r="E809" s="118"/>
      <c r="F809" s="342">
        <f>F810</f>
        <v>569.91999999999996</v>
      </c>
      <c r="G809" s="565">
        <f>G810</f>
        <v>569.79196000000002</v>
      </c>
      <c r="H809" s="114">
        <f t="shared" si="67"/>
        <v>99.97753368893882</v>
      </c>
    </row>
    <row r="810" spans="1:11" ht="31.5" x14ac:dyDescent="0.25">
      <c r="A810" s="19" t="s">
        <v>149</v>
      </c>
      <c r="B810" s="334" t="s">
        <v>145</v>
      </c>
      <c r="C810" s="334" t="s">
        <v>120</v>
      </c>
      <c r="D810" s="334" t="s">
        <v>374</v>
      </c>
      <c r="E810" s="118" t="s">
        <v>150</v>
      </c>
      <c r="F810" s="342">
        <f>F811</f>
        <v>569.91999999999996</v>
      </c>
      <c r="G810" s="565">
        <f>G811</f>
        <v>569.79196000000002</v>
      </c>
      <c r="H810" s="114">
        <f t="shared" si="67"/>
        <v>99.97753368893882</v>
      </c>
    </row>
    <row r="811" spans="1:11" ht="15.75" x14ac:dyDescent="0.25">
      <c r="A811" s="68" t="s">
        <v>151</v>
      </c>
      <c r="B811" s="334" t="s">
        <v>145</v>
      </c>
      <c r="C811" s="334" t="s">
        <v>120</v>
      </c>
      <c r="D811" s="334" t="s">
        <v>374</v>
      </c>
      <c r="E811" s="118" t="s">
        <v>152</v>
      </c>
      <c r="F811" s="342">
        <f>'Пр.4 Ведом23'!G876</f>
        <v>569.91999999999996</v>
      </c>
      <c r="G811" s="565">
        <f>'Пр.4 Ведом23'!H876</f>
        <v>569.79196000000002</v>
      </c>
      <c r="H811" s="114">
        <f t="shared" si="67"/>
        <v>99.97753368893882</v>
      </c>
    </row>
    <row r="812" spans="1:11" s="131" customFormat="1" ht="15.75" x14ac:dyDescent="0.25">
      <c r="A812" s="116" t="s">
        <v>1009</v>
      </c>
      <c r="B812" s="117" t="s">
        <v>145</v>
      </c>
      <c r="C812" s="117" t="s">
        <v>145</v>
      </c>
      <c r="D812" s="334"/>
      <c r="E812" s="334"/>
      <c r="F812" s="338">
        <f>F813</f>
        <v>1862.0594499999997</v>
      </c>
      <c r="G812" s="338">
        <f>G813</f>
        <v>1861.4781600000001</v>
      </c>
      <c r="H812" s="113">
        <f t="shared" si="67"/>
        <v>99.968782414546453</v>
      </c>
      <c r="I812" s="132"/>
      <c r="J812" s="132"/>
      <c r="K812" s="132"/>
    </row>
    <row r="813" spans="1:11" s="131" customFormat="1" ht="47.25" x14ac:dyDescent="0.25">
      <c r="A813" s="116" t="s">
        <v>882</v>
      </c>
      <c r="B813" s="117" t="s">
        <v>145</v>
      </c>
      <c r="C813" s="117" t="s">
        <v>145</v>
      </c>
      <c r="D813" s="117" t="s">
        <v>169</v>
      </c>
      <c r="E813" s="117"/>
      <c r="F813" s="338">
        <f>F814</f>
        <v>1862.0594499999997</v>
      </c>
      <c r="G813" s="338">
        <f>G814</f>
        <v>1861.4781600000001</v>
      </c>
      <c r="H813" s="113">
        <f t="shared" si="67"/>
        <v>99.968782414546453</v>
      </c>
      <c r="I813" s="132"/>
      <c r="J813" s="132"/>
      <c r="K813" s="132"/>
    </row>
    <row r="814" spans="1:11" s="131" customFormat="1" ht="31.5" x14ac:dyDescent="0.25">
      <c r="A814" s="116" t="s">
        <v>170</v>
      </c>
      <c r="B814" s="117" t="s">
        <v>145</v>
      </c>
      <c r="C814" s="117" t="s">
        <v>145</v>
      </c>
      <c r="D814" s="117" t="s">
        <v>171</v>
      </c>
      <c r="E814" s="117"/>
      <c r="F814" s="338">
        <f>F815+F825+F831</f>
        <v>1862.0594499999997</v>
      </c>
      <c r="G814" s="338">
        <f>G815+G825+G831</f>
        <v>1861.4781600000001</v>
      </c>
      <c r="H814" s="113">
        <f t="shared" si="67"/>
        <v>99.968782414546453</v>
      </c>
      <c r="I814" s="132"/>
      <c r="J814" s="132"/>
      <c r="K814" s="132"/>
    </row>
    <row r="815" spans="1:11" ht="47.25" x14ac:dyDescent="0.25">
      <c r="A815" s="30" t="s">
        <v>454</v>
      </c>
      <c r="B815" s="117" t="s">
        <v>145</v>
      </c>
      <c r="C815" s="117" t="s">
        <v>145</v>
      </c>
      <c r="D815" s="117" t="s">
        <v>343</v>
      </c>
      <c r="E815" s="117"/>
      <c r="F815" s="338">
        <f>F816+F819+F822</f>
        <v>1419.4672499999999</v>
      </c>
      <c r="G815" s="338">
        <f>G816+G819+G822</f>
        <v>1418.8859600000001</v>
      </c>
      <c r="H815" s="113">
        <f t="shared" si="67"/>
        <v>99.959048720567537</v>
      </c>
    </row>
    <row r="816" spans="1:11" ht="31.5" x14ac:dyDescent="0.25">
      <c r="A816" s="26" t="s">
        <v>460</v>
      </c>
      <c r="B816" s="334" t="s">
        <v>145</v>
      </c>
      <c r="C816" s="334" t="s">
        <v>145</v>
      </c>
      <c r="D816" s="334" t="s">
        <v>344</v>
      </c>
      <c r="E816" s="334"/>
      <c r="F816" s="337">
        <f>F817</f>
        <v>21.398849999999996</v>
      </c>
      <c r="G816" s="337">
        <f>G817</f>
        <v>21.398849999999999</v>
      </c>
      <c r="H816" s="114">
        <f t="shared" si="67"/>
        <v>100.00000000000003</v>
      </c>
    </row>
    <row r="817" spans="1:11" ht="78.75" x14ac:dyDescent="0.25">
      <c r="A817" s="335" t="s">
        <v>84</v>
      </c>
      <c r="B817" s="334" t="s">
        <v>145</v>
      </c>
      <c r="C817" s="334" t="s">
        <v>145</v>
      </c>
      <c r="D817" s="334" t="s">
        <v>344</v>
      </c>
      <c r="E817" s="334" t="s">
        <v>85</v>
      </c>
      <c r="F817" s="337">
        <f>F818</f>
        <v>21.398849999999996</v>
      </c>
      <c r="G817" s="337">
        <f>G818</f>
        <v>21.398849999999999</v>
      </c>
      <c r="H817" s="114">
        <f t="shared" si="67"/>
        <v>100.00000000000003</v>
      </c>
    </row>
    <row r="818" spans="1:11" ht="31.5" x14ac:dyDescent="0.25">
      <c r="A818" s="335" t="s">
        <v>168</v>
      </c>
      <c r="B818" s="334" t="s">
        <v>145</v>
      </c>
      <c r="C818" s="334" t="s">
        <v>145</v>
      </c>
      <c r="D818" s="334" t="s">
        <v>344</v>
      </c>
      <c r="E818" s="334" t="s">
        <v>117</v>
      </c>
      <c r="F818" s="337">
        <f>'Пр.4 Ведом23'!G414+'Пр.4 Ведом23'!G1385</f>
        <v>21.398849999999996</v>
      </c>
      <c r="G818" s="337">
        <f>'Пр.4 Ведом23'!H414+'Пр.4 Ведом23'!H1385</f>
        <v>21.398849999999999</v>
      </c>
      <c r="H818" s="114">
        <f t="shared" si="67"/>
        <v>100.00000000000003</v>
      </c>
    </row>
    <row r="819" spans="1:11" ht="31.5" hidden="1" customHeight="1" x14ac:dyDescent="0.25">
      <c r="A819" s="335" t="s">
        <v>455</v>
      </c>
      <c r="B819" s="334" t="s">
        <v>145</v>
      </c>
      <c r="C819" s="334" t="s">
        <v>145</v>
      </c>
      <c r="D819" s="334" t="s">
        <v>469</v>
      </c>
      <c r="E819" s="334"/>
      <c r="F819" s="337">
        <f>F820</f>
        <v>0</v>
      </c>
      <c r="G819" s="337">
        <f>G820</f>
        <v>0</v>
      </c>
      <c r="H819" s="114" t="e">
        <f t="shared" si="67"/>
        <v>#DIV/0!</v>
      </c>
    </row>
    <row r="820" spans="1:11" ht="31.5" hidden="1" customHeight="1" x14ac:dyDescent="0.25">
      <c r="A820" s="335" t="s">
        <v>88</v>
      </c>
      <c r="B820" s="334" t="s">
        <v>145</v>
      </c>
      <c r="C820" s="334" t="s">
        <v>145</v>
      </c>
      <c r="D820" s="334" t="s">
        <v>469</v>
      </c>
      <c r="E820" s="334" t="s">
        <v>89</v>
      </c>
      <c r="F820" s="337">
        <f>F821</f>
        <v>0</v>
      </c>
      <c r="G820" s="337">
        <f>G821</f>
        <v>0</v>
      </c>
      <c r="H820" s="114" t="e">
        <f t="shared" si="67"/>
        <v>#DIV/0!</v>
      </c>
    </row>
    <row r="821" spans="1:11" ht="31.5" hidden="1" customHeight="1" x14ac:dyDescent="0.25">
      <c r="A821" s="335" t="s">
        <v>90</v>
      </c>
      <c r="B821" s="334" t="s">
        <v>145</v>
      </c>
      <c r="C821" s="334" t="s">
        <v>145</v>
      </c>
      <c r="D821" s="334" t="s">
        <v>469</v>
      </c>
      <c r="E821" s="334" t="s">
        <v>91</v>
      </c>
      <c r="F821" s="337">
        <f>'Пр.4 Ведом23'!G417</f>
        <v>0</v>
      </c>
      <c r="G821" s="337">
        <f>'Пр.4 Ведом23'!H417</f>
        <v>0</v>
      </c>
      <c r="H821" s="114" t="e">
        <f t="shared" si="67"/>
        <v>#DIV/0!</v>
      </c>
    </row>
    <row r="822" spans="1:11" ht="31.5" x14ac:dyDescent="0.25">
      <c r="A822" s="335" t="s">
        <v>821</v>
      </c>
      <c r="B822" s="334" t="s">
        <v>145</v>
      </c>
      <c r="C822" s="334" t="s">
        <v>145</v>
      </c>
      <c r="D822" s="334" t="s">
        <v>822</v>
      </c>
      <c r="E822" s="334"/>
      <c r="F822" s="337">
        <f>F823</f>
        <v>1398.0683999999999</v>
      </c>
      <c r="G822" s="337">
        <f>G823</f>
        <v>1397.48711</v>
      </c>
      <c r="H822" s="114">
        <f t="shared" si="67"/>
        <v>99.958421919843133</v>
      </c>
    </row>
    <row r="823" spans="1:11" ht="31.5" x14ac:dyDescent="0.25">
      <c r="A823" s="335" t="s">
        <v>149</v>
      </c>
      <c r="B823" s="334" t="s">
        <v>145</v>
      </c>
      <c r="C823" s="334" t="s">
        <v>145</v>
      </c>
      <c r="D823" s="334" t="s">
        <v>822</v>
      </c>
      <c r="E823" s="334" t="s">
        <v>150</v>
      </c>
      <c r="F823" s="337">
        <f>F824</f>
        <v>1398.0683999999999</v>
      </c>
      <c r="G823" s="337">
        <f>G824</f>
        <v>1397.48711</v>
      </c>
      <c r="H823" s="114">
        <f t="shared" si="67"/>
        <v>99.958421919843133</v>
      </c>
    </row>
    <row r="824" spans="1:11" ht="40.5" customHeight="1" x14ac:dyDescent="0.25">
      <c r="A824" s="335" t="s">
        <v>151</v>
      </c>
      <c r="B824" s="334" t="s">
        <v>145</v>
      </c>
      <c r="C824" s="334" t="s">
        <v>145</v>
      </c>
      <c r="D824" s="334" t="s">
        <v>822</v>
      </c>
      <c r="E824" s="334" t="s">
        <v>152</v>
      </c>
      <c r="F824" s="337">
        <f>'Пр.4 Ведом23'!G420+'Пр.4 Ведом23'!G883+'Пр.4 Ведом23'!G960</f>
        <v>1398.0683999999999</v>
      </c>
      <c r="G824" s="337">
        <f>'Пр.4 Ведом23'!H420+'Пр.4 Ведом23'!H883+'Пр.4 Ведом23'!H960</f>
        <v>1397.48711</v>
      </c>
      <c r="H824" s="114">
        <f t="shared" si="67"/>
        <v>99.958421919843133</v>
      </c>
    </row>
    <row r="825" spans="1:11" ht="63" x14ac:dyDescent="0.25">
      <c r="A825" s="116" t="s">
        <v>456</v>
      </c>
      <c r="B825" s="117" t="s">
        <v>145</v>
      </c>
      <c r="C825" s="117" t="s">
        <v>145</v>
      </c>
      <c r="D825" s="117" t="s">
        <v>345</v>
      </c>
      <c r="E825" s="117"/>
      <c r="F825" s="338">
        <f>F826</f>
        <v>417.59219999999993</v>
      </c>
      <c r="G825" s="338">
        <f>G826</f>
        <v>417.59219999999999</v>
      </c>
      <c r="H825" s="113">
        <f t="shared" si="67"/>
        <v>100.00000000000003</v>
      </c>
    </row>
    <row r="826" spans="1:11" ht="15.75" x14ac:dyDescent="0.25">
      <c r="A826" s="335" t="s">
        <v>457</v>
      </c>
      <c r="B826" s="334" t="s">
        <v>145</v>
      </c>
      <c r="C826" s="334" t="s">
        <v>145</v>
      </c>
      <c r="D826" s="334" t="s">
        <v>350</v>
      </c>
      <c r="E826" s="334"/>
      <c r="F826" s="337">
        <f>F829+F828</f>
        <v>417.59219999999993</v>
      </c>
      <c r="G826" s="337">
        <f>G829+G828</f>
        <v>417.59219999999999</v>
      </c>
      <c r="H826" s="114">
        <f t="shared" si="67"/>
        <v>100.00000000000003</v>
      </c>
    </row>
    <row r="827" spans="1:11" ht="78.75" x14ac:dyDescent="0.25">
      <c r="A827" s="335" t="s">
        <v>84</v>
      </c>
      <c r="B827" s="334" t="s">
        <v>145</v>
      </c>
      <c r="C827" s="334" t="s">
        <v>145</v>
      </c>
      <c r="D827" s="334" t="s">
        <v>350</v>
      </c>
      <c r="E827" s="334" t="s">
        <v>85</v>
      </c>
      <c r="F827" s="337">
        <f>F828</f>
        <v>48.75</v>
      </c>
      <c r="G827" s="337">
        <f>G828</f>
        <v>48.75</v>
      </c>
      <c r="H827" s="114">
        <f t="shared" si="67"/>
        <v>100</v>
      </c>
    </row>
    <row r="828" spans="1:11" s="214" customFormat="1" ht="31.5" x14ac:dyDescent="0.25">
      <c r="A828" s="335" t="s">
        <v>168</v>
      </c>
      <c r="B828" s="334" t="s">
        <v>145</v>
      </c>
      <c r="C828" s="334" t="s">
        <v>145</v>
      </c>
      <c r="D828" s="334" t="s">
        <v>350</v>
      </c>
      <c r="E828" s="334" t="s">
        <v>117</v>
      </c>
      <c r="F828" s="337">
        <f>'Пр.4 Ведом23'!G424</f>
        <v>48.75</v>
      </c>
      <c r="G828" s="337">
        <f>'Пр.4 Ведом23'!H424</f>
        <v>48.75</v>
      </c>
      <c r="H828" s="114">
        <f t="shared" si="67"/>
        <v>100</v>
      </c>
    </row>
    <row r="829" spans="1:11" s="214" customFormat="1" ht="31.5" x14ac:dyDescent="0.25">
      <c r="A829" s="335" t="s">
        <v>88</v>
      </c>
      <c r="B829" s="334" t="s">
        <v>145</v>
      </c>
      <c r="C829" s="334" t="s">
        <v>145</v>
      </c>
      <c r="D829" s="334" t="s">
        <v>350</v>
      </c>
      <c r="E829" s="334" t="s">
        <v>89</v>
      </c>
      <c r="F829" s="337">
        <f>F830</f>
        <v>368.84219999999993</v>
      </c>
      <c r="G829" s="337">
        <f>G830</f>
        <v>368.84219999999999</v>
      </c>
      <c r="H829" s="114">
        <f t="shared" si="67"/>
        <v>100.00000000000003</v>
      </c>
    </row>
    <row r="830" spans="1:11" s="214" customFormat="1" ht="31.5" customHeight="1" x14ac:dyDescent="0.25">
      <c r="A830" s="335" t="s">
        <v>90</v>
      </c>
      <c r="B830" s="334" t="s">
        <v>145</v>
      </c>
      <c r="C830" s="334" t="s">
        <v>145</v>
      </c>
      <c r="D830" s="334" t="s">
        <v>350</v>
      </c>
      <c r="E830" s="334" t="s">
        <v>91</v>
      </c>
      <c r="F830" s="337">
        <f>'Пр.4 Ведом23'!G426</f>
        <v>368.84219999999993</v>
      </c>
      <c r="G830" s="337">
        <f>'Пр.4 Ведом23'!H426</f>
        <v>368.84219999999999</v>
      </c>
      <c r="H830" s="114">
        <f t="shared" si="67"/>
        <v>100.00000000000003</v>
      </c>
    </row>
    <row r="831" spans="1:11" s="75" customFormat="1" ht="31.5" x14ac:dyDescent="0.25">
      <c r="A831" s="116" t="s">
        <v>462</v>
      </c>
      <c r="B831" s="117" t="s">
        <v>145</v>
      </c>
      <c r="C831" s="117" t="s">
        <v>145</v>
      </c>
      <c r="D831" s="117" t="s">
        <v>458</v>
      </c>
      <c r="E831" s="117"/>
      <c r="F831" s="338">
        <f t="shared" ref="F831:G832" si="72">F832</f>
        <v>25</v>
      </c>
      <c r="G831" s="338">
        <f t="shared" si="72"/>
        <v>25</v>
      </c>
      <c r="H831" s="113">
        <f t="shared" si="67"/>
        <v>100</v>
      </c>
      <c r="I831" s="132"/>
      <c r="J831" s="132"/>
      <c r="K831" s="132"/>
    </row>
    <row r="832" spans="1:11" s="75" customFormat="1" ht="47.25" x14ac:dyDescent="0.25">
      <c r="A832" s="224" t="s">
        <v>459</v>
      </c>
      <c r="B832" s="334" t="s">
        <v>145</v>
      </c>
      <c r="C832" s="334" t="s">
        <v>145</v>
      </c>
      <c r="D832" s="334" t="s">
        <v>470</v>
      </c>
      <c r="E832" s="334"/>
      <c r="F832" s="337">
        <f t="shared" si="72"/>
        <v>25</v>
      </c>
      <c r="G832" s="337">
        <f t="shared" si="72"/>
        <v>25</v>
      </c>
      <c r="H832" s="114">
        <f t="shared" si="67"/>
        <v>100</v>
      </c>
      <c r="I832" s="132"/>
      <c r="J832" s="132"/>
      <c r="K832" s="132"/>
    </row>
    <row r="833" spans="1:11" s="75" customFormat="1" ht="31.5" x14ac:dyDescent="0.25">
      <c r="A833" s="335" t="s">
        <v>137</v>
      </c>
      <c r="B833" s="334" t="s">
        <v>145</v>
      </c>
      <c r="C833" s="334" t="s">
        <v>145</v>
      </c>
      <c r="D833" s="334" t="s">
        <v>470</v>
      </c>
      <c r="E833" s="334" t="s">
        <v>138</v>
      </c>
      <c r="F833" s="337">
        <f>F834</f>
        <v>25</v>
      </c>
      <c r="G833" s="337">
        <f>G834</f>
        <v>25</v>
      </c>
      <c r="H833" s="114">
        <f t="shared" si="67"/>
        <v>100</v>
      </c>
      <c r="I833" s="132"/>
      <c r="J833" s="132"/>
      <c r="K833" s="132"/>
    </row>
    <row r="834" spans="1:11" s="75" customFormat="1" ht="31.5" x14ac:dyDescent="0.25">
      <c r="A834" s="335" t="s">
        <v>139</v>
      </c>
      <c r="B834" s="334" t="s">
        <v>145</v>
      </c>
      <c r="C834" s="334" t="s">
        <v>145</v>
      </c>
      <c r="D834" s="334" t="s">
        <v>470</v>
      </c>
      <c r="E834" s="334" t="s">
        <v>140</v>
      </c>
      <c r="F834" s="337">
        <f>'Пр.4 Ведом23'!G430</f>
        <v>25</v>
      </c>
      <c r="G834" s="337">
        <f>'Пр.4 Ведом23'!H430</f>
        <v>25</v>
      </c>
      <c r="H834" s="114">
        <f t="shared" si="67"/>
        <v>100</v>
      </c>
      <c r="I834" s="132"/>
      <c r="J834" s="132"/>
      <c r="K834" s="132"/>
    </row>
    <row r="835" spans="1:11" s="75" customFormat="1" ht="15.75" x14ac:dyDescent="0.25">
      <c r="A835" s="116" t="s">
        <v>157</v>
      </c>
      <c r="B835" s="117" t="s">
        <v>145</v>
      </c>
      <c r="C835" s="117" t="s">
        <v>122</v>
      </c>
      <c r="D835" s="117"/>
      <c r="E835" s="117"/>
      <c r="F835" s="338">
        <f>F836+F862+F881</f>
        <v>39626.32819</v>
      </c>
      <c r="G835" s="338">
        <f>G836+G862+G881</f>
        <v>39186.286729999993</v>
      </c>
      <c r="H835" s="113">
        <f t="shared" si="67"/>
        <v>98.889522496532862</v>
      </c>
      <c r="I835" s="132"/>
      <c r="J835" s="132"/>
      <c r="K835" s="132"/>
    </row>
    <row r="836" spans="1:11" s="75" customFormat="1" ht="31.5" x14ac:dyDescent="0.25">
      <c r="A836" s="116" t="s">
        <v>362</v>
      </c>
      <c r="B836" s="117" t="s">
        <v>145</v>
      </c>
      <c r="C836" s="117" t="s">
        <v>122</v>
      </c>
      <c r="D836" s="117" t="s">
        <v>321</v>
      </c>
      <c r="E836" s="117"/>
      <c r="F836" s="338">
        <f>F837</f>
        <v>12599.281260000002</v>
      </c>
      <c r="G836" s="338">
        <f>G837</f>
        <v>12404.359269999999</v>
      </c>
      <c r="H836" s="113">
        <f t="shared" si="67"/>
        <v>98.452911829035543</v>
      </c>
      <c r="I836" s="132"/>
      <c r="J836" s="132"/>
      <c r="K836" s="132"/>
    </row>
    <row r="837" spans="1:11" s="75" customFormat="1" ht="15.75" x14ac:dyDescent="0.25">
      <c r="A837" s="116" t="s">
        <v>363</v>
      </c>
      <c r="B837" s="117" t="s">
        <v>145</v>
      </c>
      <c r="C837" s="117" t="s">
        <v>122</v>
      </c>
      <c r="D837" s="117" t="s">
        <v>322</v>
      </c>
      <c r="E837" s="117"/>
      <c r="F837" s="338">
        <f>F838+F843+F850+F853+F859+F856</f>
        <v>12599.281260000002</v>
      </c>
      <c r="G837" s="338">
        <f>G838+G843+G850+G853+G859+G856</f>
        <v>12404.359269999999</v>
      </c>
      <c r="H837" s="113">
        <f t="shared" si="67"/>
        <v>98.452911829035543</v>
      </c>
      <c r="I837" s="132"/>
      <c r="J837" s="132"/>
      <c r="K837" s="132"/>
    </row>
    <row r="838" spans="1:11" ht="31.5" x14ac:dyDescent="0.25">
      <c r="A838" s="335" t="s">
        <v>346</v>
      </c>
      <c r="B838" s="334" t="s">
        <v>145</v>
      </c>
      <c r="C838" s="334" t="s">
        <v>122</v>
      </c>
      <c r="D838" s="334" t="s">
        <v>323</v>
      </c>
      <c r="E838" s="334"/>
      <c r="F838" s="337">
        <f>F839+F841</f>
        <v>7901.1130000000012</v>
      </c>
      <c r="G838" s="337">
        <f>G839+G841</f>
        <v>7722.1566000000003</v>
      </c>
      <c r="H838" s="114">
        <f t="shared" si="67"/>
        <v>97.735048214093368</v>
      </c>
    </row>
    <row r="839" spans="1:11" s="75" customFormat="1" ht="78.75" x14ac:dyDescent="0.25">
      <c r="A839" s="335" t="s">
        <v>84</v>
      </c>
      <c r="B839" s="334" t="s">
        <v>145</v>
      </c>
      <c r="C839" s="334" t="s">
        <v>122</v>
      </c>
      <c r="D839" s="334" t="s">
        <v>323</v>
      </c>
      <c r="E839" s="334" t="s">
        <v>85</v>
      </c>
      <c r="F839" s="337">
        <f>F840</f>
        <v>7646.4230000000007</v>
      </c>
      <c r="G839" s="337">
        <f>G840</f>
        <v>7534.5552900000002</v>
      </c>
      <c r="H839" s="114">
        <f t="shared" si="67"/>
        <v>98.536992918126558</v>
      </c>
      <c r="I839" s="132"/>
      <c r="J839" s="132"/>
      <c r="K839" s="132"/>
    </row>
    <row r="840" spans="1:11" s="75" customFormat="1" ht="31.5" x14ac:dyDescent="0.25">
      <c r="A840" s="335" t="s">
        <v>86</v>
      </c>
      <c r="B840" s="334" t="s">
        <v>145</v>
      </c>
      <c r="C840" s="334" t="s">
        <v>122</v>
      </c>
      <c r="D840" s="334" t="s">
        <v>323</v>
      </c>
      <c r="E840" s="334" t="s">
        <v>87</v>
      </c>
      <c r="F840" s="271">
        <f>'Пр.4 Ведом23'!G889</f>
        <v>7646.4230000000007</v>
      </c>
      <c r="G840" s="271">
        <f>'Пр.4 Ведом23'!H889</f>
        <v>7534.5552900000002</v>
      </c>
      <c r="H840" s="114">
        <f t="shared" si="67"/>
        <v>98.536992918126558</v>
      </c>
      <c r="I840" s="132"/>
      <c r="J840" s="132"/>
      <c r="K840" s="132"/>
    </row>
    <row r="841" spans="1:11" s="75" customFormat="1" ht="31.5" x14ac:dyDescent="0.25">
      <c r="A841" s="335" t="s">
        <v>88</v>
      </c>
      <c r="B841" s="334" t="s">
        <v>145</v>
      </c>
      <c r="C841" s="334" t="s">
        <v>122</v>
      </c>
      <c r="D841" s="334" t="s">
        <v>323</v>
      </c>
      <c r="E841" s="334" t="s">
        <v>89</v>
      </c>
      <c r="F841" s="337">
        <f>F842</f>
        <v>254.69000000000005</v>
      </c>
      <c r="G841" s="337">
        <f>G842</f>
        <v>187.60131000000001</v>
      </c>
      <c r="H841" s="114">
        <f t="shared" si="67"/>
        <v>73.658687031292942</v>
      </c>
      <c r="I841" s="132"/>
      <c r="J841" s="132"/>
      <c r="K841" s="132"/>
    </row>
    <row r="842" spans="1:11" s="270" customFormat="1" ht="31.5" customHeight="1" x14ac:dyDescent="0.25">
      <c r="A842" s="335" t="s">
        <v>90</v>
      </c>
      <c r="B842" s="334" t="s">
        <v>145</v>
      </c>
      <c r="C842" s="334" t="s">
        <v>122</v>
      </c>
      <c r="D842" s="334" t="s">
        <v>323</v>
      </c>
      <c r="E842" s="334" t="s">
        <v>91</v>
      </c>
      <c r="F842" s="337">
        <f>'Пр.4 Ведом23'!G891</f>
        <v>254.69000000000005</v>
      </c>
      <c r="G842" s="337">
        <f>'Пр.4 Ведом23'!H891</f>
        <v>187.60131000000001</v>
      </c>
      <c r="H842" s="114">
        <f t="shared" si="67"/>
        <v>73.658687031292942</v>
      </c>
    </row>
    <row r="843" spans="1:11" ht="31.5" x14ac:dyDescent="0.25">
      <c r="A843" s="335" t="s">
        <v>305</v>
      </c>
      <c r="B843" s="334" t="s">
        <v>145</v>
      </c>
      <c r="C843" s="334" t="s">
        <v>122</v>
      </c>
      <c r="D843" s="334" t="s">
        <v>324</v>
      </c>
      <c r="E843" s="334"/>
      <c r="F843" s="337">
        <f>F844+F846+F848</f>
        <v>4311.6260000000011</v>
      </c>
      <c r="G843" s="337">
        <f>G844+G846+G848</f>
        <v>4295.7393099999999</v>
      </c>
      <c r="H843" s="114">
        <f t="shared" ref="H843:H906" si="73">G843/F843*100</f>
        <v>99.631538310604839</v>
      </c>
    </row>
    <row r="844" spans="1:11" ht="78.75" x14ac:dyDescent="0.25">
      <c r="A844" s="335" t="s">
        <v>84</v>
      </c>
      <c r="B844" s="334" t="s">
        <v>145</v>
      </c>
      <c r="C844" s="334" t="s">
        <v>122</v>
      </c>
      <c r="D844" s="334" t="s">
        <v>324</v>
      </c>
      <c r="E844" s="334" t="s">
        <v>85</v>
      </c>
      <c r="F844" s="337">
        <f>F845</f>
        <v>4166.0760000000009</v>
      </c>
      <c r="G844" s="337">
        <f>G845</f>
        <v>4155.4135900000001</v>
      </c>
      <c r="H844" s="114">
        <f t="shared" si="73"/>
        <v>99.744065878778954</v>
      </c>
    </row>
    <row r="845" spans="1:11" ht="31.5" x14ac:dyDescent="0.25">
      <c r="A845" s="335" t="s">
        <v>86</v>
      </c>
      <c r="B845" s="334" t="s">
        <v>145</v>
      </c>
      <c r="C845" s="334" t="s">
        <v>122</v>
      </c>
      <c r="D845" s="334" t="s">
        <v>324</v>
      </c>
      <c r="E845" s="334" t="s">
        <v>87</v>
      </c>
      <c r="F845" s="337">
        <f>'Пр.4 Ведом23'!G894</f>
        <v>4166.0760000000009</v>
      </c>
      <c r="G845" s="337">
        <f>'Пр.4 Ведом23'!H894</f>
        <v>4155.4135900000001</v>
      </c>
      <c r="H845" s="114">
        <f t="shared" si="73"/>
        <v>99.744065878778954</v>
      </c>
    </row>
    <row r="846" spans="1:11" ht="31.5" x14ac:dyDescent="0.25">
      <c r="A846" s="335" t="s">
        <v>88</v>
      </c>
      <c r="B846" s="334" t="s">
        <v>145</v>
      </c>
      <c r="C846" s="334" t="s">
        <v>122</v>
      </c>
      <c r="D846" s="334" t="s">
        <v>324</v>
      </c>
      <c r="E846" s="334" t="s">
        <v>89</v>
      </c>
      <c r="F846" s="337">
        <f>F847</f>
        <v>142.55000000000001</v>
      </c>
      <c r="G846" s="337">
        <f>G847</f>
        <v>137.32571999999999</v>
      </c>
      <c r="H846" s="114">
        <f t="shared" si="73"/>
        <v>96.335124517713069</v>
      </c>
    </row>
    <row r="847" spans="1:11" s="270" customFormat="1" ht="31.5" customHeight="1" x14ac:dyDescent="0.25">
      <c r="A847" s="335" t="s">
        <v>90</v>
      </c>
      <c r="B847" s="334" t="s">
        <v>145</v>
      </c>
      <c r="C847" s="334" t="s">
        <v>122</v>
      </c>
      <c r="D847" s="334" t="s">
        <v>324</v>
      </c>
      <c r="E847" s="334" t="s">
        <v>91</v>
      </c>
      <c r="F847" s="337">
        <f>'Пр.4 Ведом23'!G896</f>
        <v>142.55000000000001</v>
      </c>
      <c r="G847" s="337">
        <f>'Пр.4 Ведом23'!H896</f>
        <v>137.32571999999999</v>
      </c>
      <c r="H847" s="114">
        <f t="shared" si="73"/>
        <v>96.335124517713069</v>
      </c>
    </row>
    <row r="848" spans="1:11" ht="15.75" x14ac:dyDescent="0.25">
      <c r="A848" s="335" t="s">
        <v>92</v>
      </c>
      <c r="B848" s="334" t="s">
        <v>145</v>
      </c>
      <c r="C848" s="334" t="s">
        <v>122</v>
      </c>
      <c r="D848" s="334" t="s">
        <v>324</v>
      </c>
      <c r="E848" s="334" t="s">
        <v>98</v>
      </c>
      <c r="F848" s="337">
        <f>F849</f>
        <v>3</v>
      </c>
      <c r="G848" s="337">
        <f>G849</f>
        <v>3</v>
      </c>
      <c r="H848" s="114">
        <f t="shared" si="73"/>
        <v>100</v>
      </c>
    </row>
    <row r="849" spans="1:11" ht="15.75" x14ac:dyDescent="0.25">
      <c r="A849" s="335" t="s">
        <v>223</v>
      </c>
      <c r="B849" s="334" t="s">
        <v>145</v>
      </c>
      <c r="C849" s="334" t="s">
        <v>122</v>
      </c>
      <c r="D849" s="334" t="s">
        <v>324</v>
      </c>
      <c r="E849" s="334" t="s">
        <v>94</v>
      </c>
      <c r="F849" s="337">
        <f>'Пр.4 Ведом23'!G898</f>
        <v>3</v>
      </c>
      <c r="G849" s="337">
        <f>'Пр.4 Ведом23'!H898</f>
        <v>3</v>
      </c>
      <c r="H849" s="114">
        <f t="shared" si="73"/>
        <v>100</v>
      </c>
    </row>
    <row r="850" spans="1:11" s="75" customFormat="1" ht="47.25" x14ac:dyDescent="0.25">
      <c r="A850" s="335" t="s">
        <v>304</v>
      </c>
      <c r="B850" s="334" t="s">
        <v>145</v>
      </c>
      <c r="C850" s="334" t="s">
        <v>122</v>
      </c>
      <c r="D850" s="334" t="s">
        <v>325</v>
      </c>
      <c r="E850" s="334"/>
      <c r="F850" s="337">
        <f>F851</f>
        <v>218.69</v>
      </c>
      <c r="G850" s="337">
        <f>G851</f>
        <v>218.61109999999999</v>
      </c>
      <c r="H850" s="114">
        <f t="shared" si="73"/>
        <v>99.963921532763266</v>
      </c>
      <c r="I850" s="132"/>
      <c r="J850" s="132"/>
      <c r="K850" s="132"/>
    </row>
    <row r="851" spans="1:11" ht="78.75" x14ac:dyDescent="0.25">
      <c r="A851" s="335" t="s">
        <v>84</v>
      </c>
      <c r="B851" s="334" t="s">
        <v>145</v>
      </c>
      <c r="C851" s="334" t="s">
        <v>122</v>
      </c>
      <c r="D851" s="334" t="s">
        <v>325</v>
      </c>
      <c r="E851" s="334" t="s">
        <v>85</v>
      </c>
      <c r="F851" s="337">
        <f>F852</f>
        <v>218.69</v>
      </c>
      <c r="G851" s="337">
        <f>G852</f>
        <v>218.61109999999999</v>
      </c>
      <c r="H851" s="114">
        <f t="shared" si="73"/>
        <v>99.963921532763266</v>
      </c>
    </row>
    <row r="852" spans="1:11" ht="31.5" x14ac:dyDescent="0.25">
      <c r="A852" s="335" t="s">
        <v>86</v>
      </c>
      <c r="B852" s="334" t="s">
        <v>145</v>
      </c>
      <c r="C852" s="334" t="s">
        <v>122</v>
      </c>
      <c r="D852" s="334" t="s">
        <v>325</v>
      </c>
      <c r="E852" s="334" t="s">
        <v>87</v>
      </c>
      <c r="F852" s="337">
        <f>'Пр.4 Ведом23'!G901</f>
        <v>218.69</v>
      </c>
      <c r="G852" s="337">
        <f>'Пр.4 Ведом23'!H901</f>
        <v>218.61109999999999</v>
      </c>
      <c r="H852" s="114">
        <f t="shared" si="73"/>
        <v>99.963921532763266</v>
      </c>
    </row>
    <row r="853" spans="1:11" s="332" customFormat="1" ht="31.5" x14ac:dyDescent="0.25">
      <c r="A853" s="335" t="s">
        <v>1085</v>
      </c>
      <c r="B853" s="334" t="s">
        <v>145</v>
      </c>
      <c r="C853" s="334" t="s">
        <v>122</v>
      </c>
      <c r="D853" s="334" t="s">
        <v>1081</v>
      </c>
      <c r="E853" s="334"/>
      <c r="F853" s="337">
        <f t="shared" ref="F853:G854" si="74">F854</f>
        <v>39.06</v>
      </c>
      <c r="G853" s="337">
        <f t="shared" si="74"/>
        <v>39.06</v>
      </c>
      <c r="H853" s="114">
        <f t="shared" si="73"/>
        <v>100</v>
      </c>
      <c r="I853" s="333"/>
      <c r="J853" s="333"/>
      <c r="K853" s="333"/>
    </row>
    <row r="854" spans="1:11" s="332" customFormat="1" ht="78.75" x14ac:dyDescent="0.25">
      <c r="A854" s="335" t="s">
        <v>84</v>
      </c>
      <c r="B854" s="334" t="s">
        <v>145</v>
      </c>
      <c r="C854" s="334" t="s">
        <v>122</v>
      </c>
      <c r="D854" s="334" t="s">
        <v>1081</v>
      </c>
      <c r="E854" s="334" t="s">
        <v>85</v>
      </c>
      <c r="F854" s="337">
        <f t="shared" si="74"/>
        <v>39.06</v>
      </c>
      <c r="G854" s="337">
        <f t="shared" si="74"/>
        <v>39.06</v>
      </c>
      <c r="H854" s="114">
        <f t="shared" si="73"/>
        <v>100</v>
      </c>
      <c r="I854" s="333"/>
      <c r="J854" s="333"/>
      <c r="K854" s="333"/>
    </row>
    <row r="855" spans="1:11" s="332" customFormat="1" ht="31.5" x14ac:dyDescent="0.25">
      <c r="A855" s="335" t="s">
        <v>86</v>
      </c>
      <c r="B855" s="334" t="s">
        <v>145</v>
      </c>
      <c r="C855" s="334" t="s">
        <v>122</v>
      </c>
      <c r="D855" s="334" t="s">
        <v>1081</v>
      </c>
      <c r="E855" s="334" t="s">
        <v>87</v>
      </c>
      <c r="F855" s="337">
        <f>'Пр.4 Ведом23'!G904</f>
        <v>39.06</v>
      </c>
      <c r="G855" s="337">
        <f>'Пр.4 Ведом23'!H904</f>
        <v>39.06</v>
      </c>
      <c r="H855" s="114">
        <f t="shared" si="73"/>
        <v>100</v>
      </c>
      <c r="I855" s="333"/>
      <c r="J855" s="333"/>
      <c r="K855" s="333"/>
    </row>
    <row r="856" spans="1:11" s="332" customFormat="1" ht="31.5" x14ac:dyDescent="0.25">
      <c r="A856" s="335" t="s">
        <v>1118</v>
      </c>
      <c r="B856" s="334" t="s">
        <v>145</v>
      </c>
      <c r="C856" s="334" t="s">
        <v>122</v>
      </c>
      <c r="D856" s="334" t="s">
        <v>1122</v>
      </c>
      <c r="E856" s="334"/>
      <c r="F856" s="337">
        <f>F857</f>
        <v>70.384</v>
      </c>
      <c r="G856" s="337">
        <f>G857</f>
        <v>70.384</v>
      </c>
      <c r="H856" s="114">
        <f t="shared" si="73"/>
        <v>100</v>
      </c>
      <c r="I856" s="333"/>
      <c r="J856" s="333"/>
      <c r="K856" s="333"/>
    </row>
    <row r="857" spans="1:11" s="332" customFormat="1" ht="78.75" x14ac:dyDescent="0.25">
      <c r="A857" s="335" t="s">
        <v>84</v>
      </c>
      <c r="B857" s="334" t="s">
        <v>145</v>
      </c>
      <c r="C857" s="334" t="s">
        <v>122</v>
      </c>
      <c r="D857" s="334" t="s">
        <v>1122</v>
      </c>
      <c r="E857" s="334" t="s">
        <v>85</v>
      </c>
      <c r="F857" s="337">
        <f>F858</f>
        <v>70.384</v>
      </c>
      <c r="G857" s="337">
        <f>G858</f>
        <v>70.384</v>
      </c>
      <c r="H857" s="114">
        <f t="shared" si="73"/>
        <v>100</v>
      </c>
      <c r="I857" s="333"/>
      <c r="J857" s="333"/>
      <c r="K857" s="333"/>
    </row>
    <row r="858" spans="1:11" s="332" customFormat="1" ht="33.75" customHeight="1" x14ac:dyDescent="0.25">
      <c r="A858" s="335" t="s">
        <v>86</v>
      </c>
      <c r="B858" s="334" t="s">
        <v>145</v>
      </c>
      <c r="C858" s="334" t="s">
        <v>122</v>
      </c>
      <c r="D858" s="334" t="s">
        <v>1122</v>
      </c>
      <c r="E858" s="334" t="s">
        <v>87</v>
      </c>
      <c r="F858" s="337">
        <f>'Пр.4 Ведом23'!G907</f>
        <v>70.384</v>
      </c>
      <c r="G858" s="337">
        <f>'Пр.4 Ведом23'!H907</f>
        <v>70.384</v>
      </c>
      <c r="H858" s="114">
        <f t="shared" si="73"/>
        <v>100</v>
      </c>
      <c r="I858" s="333"/>
      <c r="J858" s="333"/>
      <c r="K858" s="333"/>
    </row>
    <row r="859" spans="1:11" s="332" customFormat="1" ht="47.25" x14ac:dyDescent="0.25">
      <c r="A859" s="335" t="s">
        <v>1107</v>
      </c>
      <c r="B859" s="334" t="s">
        <v>145</v>
      </c>
      <c r="C859" s="334" t="s">
        <v>122</v>
      </c>
      <c r="D859" s="334" t="s">
        <v>1106</v>
      </c>
      <c r="E859" s="334"/>
      <c r="F859" s="337">
        <f>F860</f>
        <v>58.408259999999999</v>
      </c>
      <c r="G859" s="337">
        <f>G860</f>
        <v>58.408259999999999</v>
      </c>
      <c r="H859" s="114">
        <f t="shared" si="73"/>
        <v>100</v>
      </c>
      <c r="I859" s="333"/>
      <c r="J859" s="333"/>
      <c r="K859" s="333"/>
    </row>
    <row r="860" spans="1:11" s="332" customFormat="1" ht="79.5" customHeight="1" x14ac:dyDescent="0.25">
      <c r="A860" s="335" t="s">
        <v>84</v>
      </c>
      <c r="B860" s="334" t="s">
        <v>145</v>
      </c>
      <c r="C860" s="334" t="s">
        <v>122</v>
      </c>
      <c r="D860" s="334" t="s">
        <v>1106</v>
      </c>
      <c r="E860" s="334" t="s">
        <v>85</v>
      </c>
      <c r="F860" s="337">
        <f>F861</f>
        <v>58.408259999999999</v>
      </c>
      <c r="G860" s="337">
        <f>G861</f>
        <v>58.408259999999999</v>
      </c>
      <c r="H860" s="114">
        <f t="shared" si="73"/>
        <v>100</v>
      </c>
      <c r="I860" s="333"/>
      <c r="J860" s="333"/>
      <c r="K860" s="333"/>
    </row>
    <row r="861" spans="1:11" s="332" customFormat="1" ht="31.5" x14ac:dyDescent="0.25">
      <c r="A861" s="335" t="s">
        <v>86</v>
      </c>
      <c r="B861" s="334" t="s">
        <v>145</v>
      </c>
      <c r="C861" s="334" t="s">
        <v>122</v>
      </c>
      <c r="D861" s="334" t="s">
        <v>1106</v>
      </c>
      <c r="E861" s="334" t="s">
        <v>87</v>
      </c>
      <c r="F861" s="337">
        <f>'Пр.4 Ведом23'!G910</f>
        <v>58.408259999999999</v>
      </c>
      <c r="G861" s="337">
        <f>'Пр.4 Ведом23'!H910</f>
        <v>58.408259999999999</v>
      </c>
      <c r="H861" s="114">
        <f t="shared" si="73"/>
        <v>100</v>
      </c>
      <c r="I861" s="333"/>
      <c r="J861" s="333"/>
      <c r="K861" s="333"/>
    </row>
    <row r="862" spans="1:11" ht="15.75" x14ac:dyDescent="0.25">
      <c r="A862" s="116" t="s">
        <v>97</v>
      </c>
      <c r="B862" s="117" t="s">
        <v>145</v>
      </c>
      <c r="C862" s="117" t="s">
        <v>122</v>
      </c>
      <c r="D862" s="117" t="s">
        <v>329</v>
      </c>
      <c r="E862" s="117"/>
      <c r="F862" s="338">
        <f>F863+F877</f>
        <v>18375.275999999998</v>
      </c>
      <c r="G862" s="338">
        <f>G863+G877</f>
        <v>18319.628229999998</v>
      </c>
      <c r="H862" s="113">
        <f t="shared" si="73"/>
        <v>99.697159541984576</v>
      </c>
    </row>
    <row r="863" spans="1:11" s="75" customFormat="1" ht="15.75" x14ac:dyDescent="0.25">
      <c r="A863" s="116" t="s">
        <v>736</v>
      </c>
      <c r="B863" s="117" t="s">
        <v>145</v>
      </c>
      <c r="C863" s="117" t="s">
        <v>122</v>
      </c>
      <c r="D863" s="117" t="s">
        <v>384</v>
      </c>
      <c r="E863" s="117"/>
      <c r="F863" s="338">
        <f>F864+F867+F874</f>
        <v>17635.275999999998</v>
      </c>
      <c r="G863" s="338">
        <f>G864+G867+G874</f>
        <v>17580.864529999999</v>
      </c>
      <c r="H863" s="113">
        <f t="shared" si="73"/>
        <v>99.691462328120068</v>
      </c>
      <c r="I863" s="132"/>
      <c r="J863" s="132"/>
      <c r="K863" s="132"/>
    </row>
    <row r="864" spans="1:11" s="75" customFormat="1" ht="47.25" x14ac:dyDescent="0.25">
      <c r="A864" s="335" t="s">
        <v>304</v>
      </c>
      <c r="B864" s="334" t="s">
        <v>145</v>
      </c>
      <c r="C864" s="334" t="s">
        <v>122</v>
      </c>
      <c r="D864" s="334" t="s">
        <v>387</v>
      </c>
      <c r="E864" s="334"/>
      <c r="F864" s="337">
        <f>F865</f>
        <v>78.409999999999982</v>
      </c>
      <c r="G864" s="337">
        <f>G865</f>
        <v>78.41</v>
      </c>
      <c r="H864" s="114">
        <f t="shared" si="73"/>
        <v>100.00000000000003</v>
      </c>
      <c r="I864" s="132"/>
      <c r="J864" s="132"/>
      <c r="K864" s="132"/>
    </row>
    <row r="865" spans="1:11" s="75" customFormat="1" ht="78.75" x14ac:dyDescent="0.25">
      <c r="A865" s="335" t="s">
        <v>84</v>
      </c>
      <c r="B865" s="334" t="s">
        <v>145</v>
      </c>
      <c r="C865" s="334" t="s">
        <v>122</v>
      </c>
      <c r="D865" s="334" t="s">
        <v>387</v>
      </c>
      <c r="E865" s="334" t="s">
        <v>85</v>
      </c>
      <c r="F865" s="337">
        <f>F866</f>
        <v>78.409999999999982</v>
      </c>
      <c r="G865" s="337">
        <f>G866</f>
        <v>78.41</v>
      </c>
      <c r="H865" s="114">
        <f t="shared" si="73"/>
        <v>100.00000000000003</v>
      </c>
      <c r="I865" s="132"/>
      <c r="J865" s="132"/>
      <c r="K865" s="132"/>
    </row>
    <row r="866" spans="1:11" s="75" customFormat="1" ht="31.5" x14ac:dyDescent="0.25">
      <c r="A866" s="335" t="s">
        <v>168</v>
      </c>
      <c r="B866" s="334" t="s">
        <v>145</v>
      </c>
      <c r="C866" s="334" t="s">
        <v>122</v>
      </c>
      <c r="D866" s="334" t="s">
        <v>387</v>
      </c>
      <c r="E866" s="334" t="s">
        <v>117</v>
      </c>
      <c r="F866" s="337">
        <f>'Пр.4 Ведом23'!G915</f>
        <v>78.409999999999982</v>
      </c>
      <c r="G866" s="337">
        <f>'Пр.4 Ведом23'!H915</f>
        <v>78.41</v>
      </c>
      <c r="H866" s="114">
        <f t="shared" si="73"/>
        <v>100.00000000000003</v>
      </c>
      <c r="I866" s="132"/>
      <c r="J866" s="132"/>
      <c r="K866" s="132"/>
    </row>
    <row r="867" spans="1:11" s="110" customFormat="1" ht="15.75" x14ac:dyDescent="0.25">
      <c r="A867" s="335" t="s">
        <v>283</v>
      </c>
      <c r="B867" s="334" t="s">
        <v>145</v>
      </c>
      <c r="C867" s="334" t="s">
        <v>122</v>
      </c>
      <c r="D867" s="334" t="s">
        <v>386</v>
      </c>
      <c r="E867" s="334"/>
      <c r="F867" s="337">
        <f>F868+F870+F872</f>
        <v>17291.175999999999</v>
      </c>
      <c r="G867" s="337">
        <f>G868+G870+G872</f>
        <v>17236.76453</v>
      </c>
      <c r="H867" s="114">
        <f t="shared" si="73"/>
        <v>99.685322328568063</v>
      </c>
      <c r="I867" s="132"/>
      <c r="J867" s="132"/>
      <c r="K867" s="132"/>
    </row>
    <row r="868" spans="1:11" s="110" customFormat="1" ht="78.75" x14ac:dyDescent="0.25">
      <c r="A868" s="335" t="s">
        <v>84</v>
      </c>
      <c r="B868" s="334" t="s">
        <v>145</v>
      </c>
      <c r="C868" s="334" t="s">
        <v>122</v>
      </c>
      <c r="D868" s="334" t="s">
        <v>386</v>
      </c>
      <c r="E868" s="334" t="s">
        <v>85</v>
      </c>
      <c r="F868" s="337">
        <f>F869</f>
        <v>16342.069</v>
      </c>
      <c r="G868" s="337">
        <f>G869</f>
        <v>16332.17073</v>
      </c>
      <c r="H868" s="114">
        <f t="shared" si="73"/>
        <v>99.939430741603161</v>
      </c>
      <c r="I868" s="132"/>
      <c r="J868" s="132"/>
      <c r="K868" s="132"/>
    </row>
    <row r="869" spans="1:11" s="110" customFormat="1" ht="31.5" x14ac:dyDescent="0.25">
      <c r="A869" s="335" t="s">
        <v>168</v>
      </c>
      <c r="B869" s="334" t="s">
        <v>145</v>
      </c>
      <c r="C869" s="334" t="s">
        <v>122</v>
      </c>
      <c r="D869" s="334" t="s">
        <v>386</v>
      </c>
      <c r="E869" s="334" t="s">
        <v>117</v>
      </c>
      <c r="F869" s="337">
        <f>'Пр.4 Ведом23'!G918</f>
        <v>16342.069</v>
      </c>
      <c r="G869" s="337">
        <f>'Пр.4 Ведом23'!H918</f>
        <v>16332.17073</v>
      </c>
      <c r="H869" s="114">
        <f t="shared" si="73"/>
        <v>99.939430741603161</v>
      </c>
      <c r="I869" s="132"/>
      <c r="J869" s="132"/>
      <c r="K869" s="132"/>
    </row>
    <row r="870" spans="1:11" s="110" customFormat="1" ht="31.5" x14ac:dyDescent="0.25">
      <c r="A870" s="335" t="s">
        <v>88</v>
      </c>
      <c r="B870" s="334" t="s">
        <v>145</v>
      </c>
      <c r="C870" s="334" t="s">
        <v>122</v>
      </c>
      <c r="D870" s="334" t="s">
        <v>386</v>
      </c>
      <c r="E870" s="334" t="s">
        <v>89</v>
      </c>
      <c r="F870" s="337">
        <f>F871</f>
        <v>945.10699999999997</v>
      </c>
      <c r="G870" s="337">
        <f>G871</f>
        <v>904.09379999999999</v>
      </c>
      <c r="H870" s="114">
        <f t="shared" si="73"/>
        <v>95.660470190147777</v>
      </c>
      <c r="I870" s="132"/>
      <c r="J870" s="132"/>
      <c r="K870" s="132"/>
    </row>
    <row r="871" spans="1:11" s="270" customFormat="1" ht="31.5" customHeight="1" x14ac:dyDescent="0.25">
      <c r="A871" s="335" t="s">
        <v>90</v>
      </c>
      <c r="B871" s="334" t="s">
        <v>145</v>
      </c>
      <c r="C871" s="334" t="s">
        <v>122</v>
      </c>
      <c r="D871" s="334" t="s">
        <v>386</v>
      </c>
      <c r="E871" s="334" t="s">
        <v>91</v>
      </c>
      <c r="F871" s="337">
        <f>'Пр.4 Ведом23'!G920</f>
        <v>945.10699999999997</v>
      </c>
      <c r="G871" s="337">
        <f>'Пр.4 Ведом23'!H920</f>
        <v>904.09379999999999</v>
      </c>
      <c r="H871" s="114">
        <f t="shared" si="73"/>
        <v>95.660470190147777</v>
      </c>
    </row>
    <row r="872" spans="1:11" s="110" customFormat="1" ht="15.75" x14ac:dyDescent="0.25">
      <c r="A872" s="335" t="s">
        <v>92</v>
      </c>
      <c r="B872" s="334" t="s">
        <v>145</v>
      </c>
      <c r="C872" s="334" t="s">
        <v>122</v>
      </c>
      <c r="D872" s="334" t="s">
        <v>386</v>
      </c>
      <c r="E872" s="334" t="s">
        <v>98</v>
      </c>
      <c r="F872" s="337">
        <f>F873</f>
        <v>4</v>
      </c>
      <c r="G872" s="337">
        <f>G873</f>
        <v>0.5</v>
      </c>
      <c r="H872" s="114">
        <f t="shared" si="73"/>
        <v>12.5</v>
      </c>
      <c r="I872" s="132"/>
      <c r="J872" s="132"/>
      <c r="K872" s="132"/>
    </row>
    <row r="873" spans="1:11" s="110" customFormat="1" ht="15.75" x14ac:dyDescent="0.25">
      <c r="A873" s="335" t="s">
        <v>223</v>
      </c>
      <c r="B873" s="334" t="s">
        <v>145</v>
      </c>
      <c r="C873" s="334" t="s">
        <v>122</v>
      </c>
      <c r="D873" s="334" t="s">
        <v>386</v>
      </c>
      <c r="E873" s="334" t="s">
        <v>94</v>
      </c>
      <c r="F873" s="337">
        <f>'Пр.4 Ведом23'!G922</f>
        <v>4</v>
      </c>
      <c r="G873" s="337">
        <f>'Пр.4 Ведом23'!H922</f>
        <v>0.5</v>
      </c>
      <c r="H873" s="114">
        <f t="shared" si="73"/>
        <v>12.5</v>
      </c>
      <c r="I873" s="132"/>
      <c r="J873" s="132"/>
      <c r="K873" s="132"/>
    </row>
    <row r="874" spans="1:11" s="332" customFormat="1" ht="31.5" x14ac:dyDescent="0.25">
      <c r="A874" s="335" t="s">
        <v>1118</v>
      </c>
      <c r="B874" s="334" t="s">
        <v>145</v>
      </c>
      <c r="C874" s="334" t="s">
        <v>122</v>
      </c>
      <c r="D874" s="334" t="s">
        <v>1119</v>
      </c>
      <c r="E874" s="334"/>
      <c r="F874" s="337">
        <f>F875</f>
        <v>265.69</v>
      </c>
      <c r="G874" s="337">
        <f>G875</f>
        <v>265.69</v>
      </c>
      <c r="H874" s="114">
        <f t="shared" si="73"/>
        <v>100</v>
      </c>
      <c r="I874" s="333"/>
      <c r="J874" s="333"/>
      <c r="K874" s="333"/>
    </row>
    <row r="875" spans="1:11" s="332" customFormat="1" ht="93.75" customHeight="1" x14ac:dyDescent="0.25">
      <c r="A875" s="335" t="s">
        <v>84</v>
      </c>
      <c r="B875" s="334" t="s">
        <v>145</v>
      </c>
      <c r="C875" s="334" t="s">
        <v>122</v>
      </c>
      <c r="D875" s="334" t="s">
        <v>1119</v>
      </c>
      <c r="E875" s="334" t="s">
        <v>85</v>
      </c>
      <c r="F875" s="337">
        <f>F876</f>
        <v>265.69</v>
      </c>
      <c r="G875" s="337">
        <f>G876</f>
        <v>265.69</v>
      </c>
      <c r="H875" s="114">
        <f t="shared" si="73"/>
        <v>100</v>
      </c>
      <c r="I875" s="333"/>
      <c r="J875" s="333"/>
      <c r="K875" s="333"/>
    </row>
    <row r="876" spans="1:11" s="332" customFormat="1" ht="31.5" x14ac:dyDescent="0.25">
      <c r="A876" s="335" t="s">
        <v>168</v>
      </c>
      <c r="B876" s="334" t="s">
        <v>145</v>
      </c>
      <c r="C876" s="334" t="s">
        <v>122</v>
      </c>
      <c r="D876" s="334" t="s">
        <v>1119</v>
      </c>
      <c r="E876" s="334" t="s">
        <v>117</v>
      </c>
      <c r="F876" s="337">
        <f>'Пр.4 Ведом23'!G925</f>
        <v>265.69</v>
      </c>
      <c r="G876" s="337">
        <f>'Пр.4 Ведом23'!H925</f>
        <v>265.69</v>
      </c>
      <c r="H876" s="114">
        <f t="shared" si="73"/>
        <v>100</v>
      </c>
      <c r="I876" s="333"/>
      <c r="J876" s="333"/>
      <c r="K876" s="333"/>
    </row>
    <row r="877" spans="1:11" s="110" customFormat="1" ht="31.5" x14ac:dyDescent="0.25">
      <c r="A877" s="116" t="s">
        <v>330</v>
      </c>
      <c r="B877" s="117" t="s">
        <v>145</v>
      </c>
      <c r="C877" s="117" t="s">
        <v>122</v>
      </c>
      <c r="D877" s="117" t="s">
        <v>328</v>
      </c>
      <c r="E877" s="117"/>
      <c r="F877" s="338">
        <f t="shared" ref="F877:G879" si="75">F878</f>
        <v>740</v>
      </c>
      <c r="G877" s="338">
        <f t="shared" si="75"/>
        <v>738.76369999999997</v>
      </c>
      <c r="H877" s="113">
        <f t="shared" si="73"/>
        <v>99.832932432432429</v>
      </c>
      <c r="I877" s="132"/>
      <c r="J877" s="132"/>
      <c r="K877" s="132"/>
    </row>
    <row r="878" spans="1:11" s="75" customFormat="1" ht="15.75" x14ac:dyDescent="0.25">
      <c r="A878" s="335" t="s">
        <v>194</v>
      </c>
      <c r="B878" s="334" t="s">
        <v>145</v>
      </c>
      <c r="C878" s="334" t="s">
        <v>122</v>
      </c>
      <c r="D878" s="334" t="s">
        <v>378</v>
      </c>
      <c r="E878" s="334"/>
      <c r="F878" s="337">
        <f t="shared" si="75"/>
        <v>740</v>
      </c>
      <c r="G878" s="337">
        <f t="shared" si="75"/>
        <v>738.76369999999997</v>
      </c>
      <c r="H878" s="114">
        <f t="shared" si="73"/>
        <v>99.832932432432429</v>
      </c>
      <c r="I878" s="132"/>
      <c r="J878" s="132"/>
      <c r="K878" s="132"/>
    </row>
    <row r="879" spans="1:11" s="75" customFormat="1" ht="31.5" x14ac:dyDescent="0.25">
      <c r="A879" s="335" t="s">
        <v>88</v>
      </c>
      <c r="B879" s="334" t="s">
        <v>145</v>
      </c>
      <c r="C879" s="334" t="s">
        <v>122</v>
      </c>
      <c r="D879" s="334" t="s">
        <v>378</v>
      </c>
      <c r="E879" s="334" t="s">
        <v>89</v>
      </c>
      <c r="F879" s="337">
        <f t="shared" si="75"/>
        <v>740</v>
      </c>
      <c r="G879" s="337">
        <f t="shared" si="75"/>
        <v>738.76369999999997</v>
      </c>
      <c r="H879" s="114">
        <f t="shared" si="73"/>
        <v>99.832932432432429</v>
      </c>
      <c r="I879" s="132"/>
      <c r="J879" s="132"/>
      <c r="K879" s="132"/>
    </row>
    <row r="880" spans="1:11" s="75" customFormat="1" ht="31.5" customHeight="1" x14ac:dyDescent="0.25">
      <c r="A880" s="335" t="s">
        <v>90</v>
      </c>
      <c r="B880" s="334" t="s">
        <v>145</v>
      </c>
      <c r="C880" s="334" t="s">
        <v>122</v>
      </c>
      <c r="D880" s="334" t="s">
        <v>378</v>
      </c>
      <c r="E880" s="334" t="s">
        <v>91</v>
      </c>
      <c r="F880" s="337">
        <f>'Пр.4 Ведом23'!G929</f>
        <v>740</v>
      </c>
      <c r="G880" s="337">
        <f>'Пр.4 Ведом23'!H929</f>
        <v>738.76369999999997</v>
      </c>
      <c r="H880" s="114">
        <f t="shared" si="73"/>
        <v>99.832932432432429</v>
      </c>
      <c r="I880" s="132"/>
      <c r="J880" s="132"/>
      <c r="K880" s="132"/>
    </row>
    <row r="881" spans="1:11" s="75" customFormat="1" ht="31.5" x14ac:dyDescent="0.25">
      <c r="A881" s="116" t="s">
        <v>642</v>
      </c>
      <c r="B881" s="117" t="s">
        <v>145</v>
      </c>
      <c r="C881" s="117" t="s">
        <v>122</v>
      </c>
      <c r="D881" s="117" t="s">
        <v>189</v>
      </c>
      <c r="E881" s="334"/>
      <c r="F881" s="338">
        <f>F882+F886</f>
        <v>8651.770929999997</v>
      </c>
      <c r="G881" s="338">
        <f>G882+G886</f>
        <v>8462.2992300000005</v>
      </c>
      <c r="H881" s="113">
        <f t="shared" si="73"/>
        <v>97.810024080237682</v>
      </c>
      <c r="I881" s="132"/>
      <c r="J881" s="132"/>
      <c r="K881" s="132"/>
    </row>
    <row r="882" spans="1:11" s="75" customFormat="1" ht="31.5" x14ac:dyDescent="0.25">
      <c r="A882" s="116" t="s">
        <v>377</v>
      </c>
      <c r="B882" s="117" t="s">
        <v>145</v>
      </c>
      <c r="C882" s="117" t="s">
        <v>122</v>
      </c>
      <c r="D882" s="117" t="s">
        <v>588</v>
      </c>
      <c r="E882" s="117"/>
      <c r="F882" s="338">
        <f t="shared" ref="F882:G884" si="76">F883</f>
        <v>8247.3869299999969</v>
      </c>
      <c r="G882" s="338">
        <f t="shared" si="76"/>
        <v>8057.9157100000002</v>
      </c>
      <c r="H882" s="113">
        <f t="shared" si="73"/>
        <v>97.702651499097342</v>
      </c>
      <c r="I882" s="132"/>
      <c r="J882" s="132"/>
      <c r="K882" s="132"/>
    </row>
    <row r="883" spans="1:11" s="75" customFormat="1" ht="31.5" x14ac:dyDescent="0.25">
      <c r="A883" s="20" t="s">
        <v>879</v>
      </c>
      <c r="B883" s="334" t="s">
        <v>145</v>
      </c>
      <c r="C883" s="334" t="s">
        <v>122</v>
      </c>
      <c r="D883" s="334" t="s">
        <v>842</v>
      </c>
      <c r="E883" s="334"/>
      <c r="F883" s="337">
        <f t="shared" si="76"/>
        <v>8247.3869299999969</v>
      </c>
      <c r="G883" s="337">
        <f t="shared" si="76"/>
        <v>8057.9157100000002</v>
      </c>
      <c r="H883" s="114">
        <f t="shared" si="73"/>
        <v>97.702651499097342</v>
      </c>
      <c r="I883" s="132"/>
      <c r="J883" s="132"/>
      <c r="K883" s="132"/>
    </row>
    <row r="884" spans="1:11" s="75" customFormat="1" ht="31.5" x14ac:dyDescent="0.25">
      <c r="A884" s="335" t="s">
        <v>149</v>
      </c>
      <c r="B884" s="334" t="s">
        <v>145</v>
      </c>
      <c r="C884" s="334" t="s">
        <v>122</v>
      </c>
      <c r="D884" s="334" t="s">
        <v>842</v>
      </c>
      <c r="E884" s="334" t="s">
        <v>150</v>
      </c>
      <c r="F884" s="337">
        <f t="shared" si="76"/>
        <v>8247.3869299999969</v>
      </c>
      <c r="G884" s="337">
        <f t="shared" si="76"/>
        <v>8057.9157100000002</v>
      </c>
      <c r="H884" s="114">
        <f t="shared" si="73"/>
        <v>97.702651499097342</v>
      </c>
      <c r="I884" s="132"/>
      <c r="J884" s="132"/>
      <c r="K884" s="132"/>
    </row>
    <row r="885" spans="1:11" s="75" customFormat="1" ht="15.75" x14ac:dyDescent="0.25">
      <c r="A885" s="335" t="s">
        <v>151</v>
      </c>
      <c r="B885" s="334" t="s">
        <v>145</v>
      </c>
      <c r="C885" s="334" t="s">
        <v>122</v>
      </c>
      <c r="D885" s="334" t="s">
        <v>842</v>
      </c>
      <c r="E885" s="334" t="s">
        <v>152</v>
      </c>
      <c r="F885" s="271">
        <f>'Пр.4 Ведом23'!G934</f>
        <v>8247.3869299999969</v>
      </c>
      <c r="G885" s="271">
        <f>'Пр.4 Ведом23'!H934</f>
        <v>8057.9157100000002</v>
      </c>
      <c r="H885" s="114">
        <f t="shared" si="73"/>
        <v>97.702651499097342</v>
      </c>
      <c r="I885" s="132"/>
      <c r="J885" s="132"/>
      <c r="K885" s="132"/>
    </row>
    <row r="886" spans="1:11" s="131" customFormat="1" ht="47.25" x14ac:dyDescent="0.25">
      <c r="A886" s="22" t="s">
        <v>727</v>
      </c>
      <c r="B886" s="117" t="s">
        <v>145</v>
      </c>
      <c r="C886" s="117" t="s">
        <v>122</v>
      </c>
      <c r="D886" s="117" t="s">
        <v>989</v>
      </c>
      <c r="E886" s="117"/>
      <c r="F886" s="273">
        <f t="shared" ref="F886:G888" si="77">F887</f>
        <v>404.3839999999999</v>
      </c>
      <c r="G886" s="273">
        <f t="shared" si="77"/>
        <v>404.38351999999998</v>
      </c>
      <c r="H886" s="113">
        <f t="shared" si="73"/>
        <v>99.999881300941695</v>
      </c>
      <c r="I886" s="132"/>
      <c r="J886" s="132"/>
      <c r="K886" s="132"/>
    </row>
    <row r="887" spans="1:11" s="131" customFormat="1" ht="47.25" x14ac:dyDescent="0.25">
      <c r="A887" s="20" t="s">
        <v>740</v>
      </c>
      <c r="B887" s="334" t="s">
        <v>145</v>
      </c>
      <c r="C887" s="334" t="s">
        <v>122</v>
      </c>
      <c r="D887" s="334" t="s">
        <v>990</v>
      </c>
      <c r="E887" s="334"/>
      <c r="F887" s="271">
        <f>F888+F890</f>
        <v>404.3839999999999</v>
      </c>
      <c r="G887" s="271">
        <f>G888+G890</f>
        <v>404.38351999999998</v>
      </c>
      <c r="H887" s="114">
        <f t="shared" si="73"/>
        <v>99.999881300941695</v>
      </c>
      <c r="I887" s="132"/>
      <c r="J887" s="132"/>
      <c r="K887" s="132"/>
    </row>
    <row r="888" spans="1:11" s="131" customFormat="1" ht="31.5" x14ac:dyDescent="0.25">
      <c r="A888" s="335" t="s">
        <v>149</v>
      </c>
      <c r="B888" s="334" t="s">
        <v>145</v>
      </c>
      <c r="C888" s="334" t="s">
        <v>122</v>
      </c>
      <c r="D888" s="334" t="s">
        <v>990</v>
      </c>
      <c r="E888" s="334" t="s">
        <v>150</v>
      </c>
      <c r="F888" s="271">
        <f t="shared" si="77"/>
        <v>404.3839999999999</v>
      </c>
      <c r="G888" s="271">
        <f t="shared" si="77"/>
        <v>404.38351999999998</v>
      </c>
      <c r="H888" s="114">
        <f t="shared" si="73"/>
        <v>99.999881300941695</v>
      </c>
      <c r="I888" s="132"/>
      <c r="J888" s="132"/>
      <c r="K888" s="132"/>
    </row>
    <row r="889" spans="1:11" s="131" customFormat="1" ht="20.45" customHeight="1" x14ac:dyDescent="0.25">
      <c r="A889" s="70" t="s">
        <v>728</v>
      </c>
      <c r="B889" s="334" t="s">
        <v>145</v>
      </c>
      <c r="C889" s="334" t="s">
        <v>122</v>
      </c>
      <c r="D889" s="334" t="s">
        <v>990</v>
      </c>
      <c r="E889" s="334" t="s">
        <v>729</v>
      </c>
      <c r="F889" s="271">
        <f>'Пр.4 Ведом23'!G938</f>
        <v>404.3839999999999</v>
      </c>
      <c r="G889" s="271">
        <f>'Пр.4 Ведом23'!H938</f>
        <v>404.38351999999998</v>
      </c>
      <c r="H889" s="114">
        <f t="shared" si="73"/>
        <v>99.999881300941695</v>
      </c>
      <c r="I889" s="132"/>
      <c r="J889" s="132"/>
      <c r="K889" s="132"/>
    </row>
    <row r="890" spans="1:11" s="332" customFormat="1" ht="52.9" hidden="1" customHeight="1" x14ac:dyDescent="0.25">
      <c r="A890" s="70" t="s">
        <v>1088</v>
      </c>
      <c r="B890" s="334" t="s">
        <v>145</v>
      </c>
      <c r="C890" s="334" t="s">
        <v>122</v>
      </c>
      <c r="D890" s="334" t="s">
        <v>990</v>
      </c>
      <c r="E890" s="334" t="s">
        <v>150</v>
      </c>
      <c r="F890" s="271">
        <f>F891</f>
        <v>0</v>
      </c>
      <c r="G890" s="271">
        <f>G891</f>
        <v>0</v>
      </c>
      <c r="H890" s="114" t="e">
        <f t="shared" si="73"/>
        <v>#DIV/0!</v>
      </c>
      <c r="I890" s="333"/>
      <c r="J890" s="333"/>
      <c r="K890" s="333"/>
    </row>
    <row r="891" spans="1:11" s="332" customFormat="1" ht="19.149999999999999" hidden="1" customHeight="1" x14ac:dyDescent="0.25">
      <c r="A891" s="354" t="s">
        <v>1092</v>
      </c>
      <c r="B891" s="334" t="s">
        <v>145</v>
      </c>
      <c r="C891" s="334" t="s">
        <v>122</v>
      </c>
      <c r="D891" s="334" t="s">
        <v>990</v>
      </c>
      <c r="E891" s="334" t="s">
        <v>1089</v>
      </c>
      <c r="F891" s="271">
        <f>'Пр.4 Ведом23'!G940</f>
        <v>0</v>
      </c>
      <c r="G891" s="271">
        <f>'Пр.4 Ведом23'!H940</f>
        <v>0</v>
      </c>
      <c r="H891" s="114" t="e">
        <f t="shared" si="73"/>
        <v>#DIV/0!</v>
      </c>
      <c r="I891" s="333"/>
      <c r="J891" s="333"/>
      <c r="K891" s="333"/>
    </row>
    <row r="892" spans="1:11" s="131" customFormat="1" ht="15.75" x14ac:dyDescent="0.25">
      <c r="A892" s="116" t="s">
        <v>158</v>
      </c>
      <c r="B892" s="117" t="s">
        <v>159</v>
      </c>
      <c r="C892" s="117"/>
      <c r="D892" s="117"/>
      <c r="E892" s="117"/>
      <c r="F892" s="338">
        <f>F893+F999</f>
        <v>87745.180500000017</v>
      </c>
      <c r="G892" s="338">
        <f>G893+G999</f>
        <v>87717.674459999995</v>
      </c>
      <c r="H892" s="113">
        <f t="shared" si="73"/>
        <v>99.968652363761421</v>
      </c>
      <c r="I892" s="132"/>
      <c r="J892" s="132"/>
      <c r="K892" s="132"/>
    </row>
    <row r="893" spans="1:11" s="131" customFormat="1" ht="13.9" customHeight="1" x14ac:dyDescent="0.25">
      <c r="A893" s="116" t="s">
        <v>160</v>
      </c>
      <c r="B893" s="117" t="s">
        <v>159</v>
      </c>
      <c r="C893" s="117" t="s">
        <v>81</v>
      </c>
      <c r="D893" s="117"/>
      <c r="E893" s="117"/>
      <c r="F893" s="338">
        <f>F894+F991+F980+F988</f>
        <v>64388.321850000015</v>
      </c>
      <c r="G893" s="338">
        <f>G894+G991+G980+G988</f>
        <v>64360.816369999993</v>
      </c>
      <c r="H893" s="113">
        <f t="shared" si="73"/>
        <v>99.957281880922295</v>
      </c>
      <c r="I893" s="132"/>
      <c r="J893" s="132"/>
      <c r="K893" s="132"/>
    </row>
    <row r="894" spans="1:11" s="131" customFormat="1" ht="31.5" x14ac:dyDescent="0.25">
      <c r="A894" s="116" t="s">
        <v>641</v>
      </c>
      <c r="B894" s="117" t="s">
        <v>159</v>
      </c>
      <c r="C894" s="117" t="s">
        <v>81</v>
      </c>
      <c r="D894" s="117" t="s">
        <v>147</v>
      </c>
      <c r="E894" s="117"/>
      <c r="F894" s="338">
        <f>F895+F914+F929+F939+F948+F952+F967+F974+F963</f>
        <v>63267.983520000016</v>
      </c>
      <c r="G894" s="338">
        <f>G895+G914+G929+G939+G948+G952+G967+G974+G963</f>
        <v>63240.478039999995</v>
      </c>
      <c r="H894" s="113">
        <f t="shared" si="73"/>
        <v>99.956525435979287</v>
      </c>
      <c r="I894" s="132"/>
      <c r="J894" s="132"/>
      <c r="K894" s="132"/>
    </row>
    <row r="895" spans="1:11" s="131" customFormat="1" ht="31.5" x14ac:dyDescent="0.25">
      <c r="A895" s="116" t="s">
        <v>621</v>
      </c>
      <c r="B895" s="117" t="s">
        <v>159</v>
      </c>
      <c r="C895" s="117" t="s">
        <v>81</v>
      </c>
      <c r="D895" s="117" t="s">
        <v>560</v>
      </c>
      <c r="E895" s="117"/>
      <c r="F895" s="338">
        <f>F896+F899+F906+F909</f>
        <v>50366.870440000021</v>
      </c>
      <c r="G895" s="338">
        <f>G896+G899+G906+G909</f>
        <v>50366.870439999999</v>
      </c>
      <c r="H895" s="113">
        <f t="shared" si="73"/>
        <v>99.999999999999957</v>
      </c>
      <c r="I895" s="132"/>
      <c r="J895" s="132"/>
      <c r="K895" s="132"/>
    </row>
    <row r="896" spans="1:11" s="131" customFormat="1" ht="31.5" x14ac:dyDescent="0.25">
      <c r="A896" s="335" t="s">
        <v>161</v>
      </c>
      <c r="B896" s="334" t="s">
        <v>159</v>
      </c>
      <c r="C896" s="334" t="s">
        <v>81</v>
      </c>
      <c r="D896" s="334" t="s">
        <v>778</v>
      </c>
      <c r="E896" s="334"/>
      <c r="F896" s="337">
        <f>F897</f>
        <v>25751.209830000014</v>
      </c>
      <c r="G896" s="337">
        <f>G897</f>
        <v>25751.20983</v>
      </c>
      <c r="H896" s="114">
        <f t="shared" si="73"/>
        <v>99.999999999999943</v>
      </c>
      <c r="I896" s="132"/>
      <c r="J896" s="132"/>
      <c r="K896" s="132"/>
    </row>
    <row r="897" spans="1:12" ht="31.5" x14ac:dyDescent="0.25">
      <c r="A897" s="335" t="s">
        <v>149</v>
      </c>
      <c r="B897" s="334" t="s">
        <v>159</v>
      </c>
      <c r="C897" s="334" t="s">
        <v>81</v>
      </c>
      <c r="D897" s="334" t="s">
        <v>778</v>
      </c>
      <c r="E897" s="334" t="s">
        <v>150</v>
      </c>
      <c r="F897" s="337">
        <f>F898</f>
        <v>25751.209830000014</v>
      </c>
      <c r="G897" s="337">
        <f>G898</f>
        <v>25751.20983</v>
      </c>
      <c r="H897" s="114">
        <f t="shared" si="73"/>
        <v>99.999999999999943</v>
      </c>
    </row>
    <row r="898" spans="1:12" s="264" customFormat="1" ht="15.75" x14ac:dyDescent="0.25">
      <c r="A898" s="335" t="s">
        <v>151</v>
      </c>
      <c r="B898" s="334" t="s">
        <v>159</v>
      </c>
      <c r="C898" s="334" t="s">
        <v>81</v>
      </c>
      <c r="D898" s="334" t="s">
        <v>778</v>
      </c>
      <c r="E898" s="334" t="s">
        <v>152</v>
      </c>
      <c r="F898" s="337">
        <f>'Пр.4 Ведом23'!G437</f>
        <v>25751.209830000014</v>
      </c>
      <c r="G898" s="337">
        <f>'Пр.4 Ведом23'!H437</f>
        <v>25751.20983</v>
      </c>
      <c r="H898" s="114">
        <f t="shared" si="73"/>
        <v>99.999999999999943</v>
      </c>
    </row>
    <row r="899" spans="1:12" ht="15.75" x14ac:dyDescent="0.25">
      <c r="A899" s="335" t="s">
        <v>282</v>
      </c>
      <c r="B899" s="334" t="s">
        <v>159</v>
      </c>
      <c r="C899" s="334" t="s">
        <v>81</v>
      </c>
      <c r="D899" s="334" t="s">
        <v>561</v>
      </c>
      <c r="E899" s="334"/>
      <c r="F899" s="337">
        <f>F900+F902+F904</f>
        <v>23049.734610000003</v>
      </c>
      <c r="G899" s="337">
        <f>G900+G902+G904</f>
        <v>23049.73461</v>
      </c>
      <c r="H899" s="114">
        <f t="shared" si="73"/>
        <v>99.999999999999986</v>
      </c>
    </row>
    <row r="900" spans="1:12" ht="78.75" x14ac:dyDescent="0.25">
      <c r="A900" s="335" t="s">
        <v>84</v>
      </c>
      <c r="B900" s="334" t="s">
        <v>159</v>
      </c>
      <c r="C900" s="334" t="s">
        <v>81</v>
      </c>
      <c r="D900" s="334" t="s">
        <v>561</v>
      </c>
      <c r="E900" s="334" t="s">
        <v>85</v>
      </c>
      <c r="F900" s="337">
        <f>F901</f>
        <v>19108.905240000004</v>
      </c>
      <c r="G900" s="337">
        <f>G901</f>
        <v>19108.90524</v>
      </c>
      <c r="H900" s="114">
        <f t="shared" si="73"/>
        <v>99.999999999999972</v>
      </c>
    </row>
    <row r="901" spans="1:12" ht="15.75" x14ac:dyDescent="0.25">
      <c r="A901" s="335" t="s">
        <v>116</v>
      </c>
      <c r="B901" s="334" t="s">
        <v>159</v>
      </c>
      <c r="C901" s="334" t="s">
        <v>81</v>
      </c>
      <c r="D901" s="334" t="s">
        <v>561</v>
      </c>
      <c r="E901" s="334" t="s">
        <v>117</v>
      </c>
      <c r="F901" s="271">
        <f>'Пр.4 Ведом23'!G440</f>
        <v>19108.905240000004</v>
      </c>
      <c r="G901" s="271">
        <f>'Пр.4 Ведом23'!H440</f>
        <v>19108.90524</v>
      </c>
      <c r="H901" s="114">
        <f t="shared" si="73"/>
        <v>99.999999999999972</v>
      </c>
    </row>
    <row r="902" spans="1:12" ht="31.5" x14ac:dyDescent="0.25">
      <c r="A902" s="335" t="s">
        <v>88</v>
      </c>
      <c r="B902" s="334" t="s">
        <v>159</v>
      </c>
      <c r="C902" s="334" t="s">
        <v>81</v>
      </c>
      <c r="D902" s="334" t="s">
        <v>561</v>
      </c>
      <c r="E902" s="334" t="s">
        <v>89</v>
      </c>
      <c r="F902" s="337">
        <f>F903</f>
        <v>3900.6303699999976</v>
      </c>
      <c r="G902" s="337">
        <f>G903</f>
        <v>3900.6303699999999</v>
      </c>
      <c r="H902" s="114">
        <f t="shared" si="73"/>
        <v>100.00000000000007</v>
      </c>
    </row>
    <row r="903" spans="1:12" s="264" customFormat="1" ht="31.5" customHeight="1" x14ac:dyDescent="0.25">
      <c r="A903" s="335" t="s">
        <v>90</v>
      </c>
      <c r="B903" s="334" t="s">
        <v>159</v>
      </c>
      <c r="C903" s="334" t="s">
        <v>81</v>
      </c>
      <c r="D903" s="334" t="s">
        <v>561</v>
      </c>
      <c r="E903" s="334" t="s">
        <v>91</v>
      </c>
      <c r="F903" s="271">
        <f>'Пр.4 Ведом23'!G442</f>
        <v>3900.6303699999976</v>
      </c>
      <c r="G903" s="271">
        <f>'Пр.4 Ведом23'!H442</f>
        <v>3900.6303699999999</v>
      </c>
      <c r="H903" s="114">
        <f t="shared" si="73"/>
        <v>100.00000000000007</v>
      </c>
      <c r="L903" s="265"/>
    </row>
    <row r="904" spans="1:12" ht="15.75" x14ac:dyDescent="0.25">
      <c r="A904" s="335" t="s">
        <v>92</v>
      </c>
      <c r="B904" s="334" t="s">
        <v>159</v>
      </c>
      <c r="C904" s="334" t="s">
        <v>81</v>
      </c>
      <c r="D904" s="334" t="s">
        <v>561</v>
      </c>
      <c r="E904" s="334" t="s">
        <v>98</v>
      </c>
      <c r="F904" s="337">
        <f>F905</f>
        <v>40.198999999999998</v>
      </c>
      <c r="G904" s="337">
        <f>G905</f>
        <v>40.198999999999998</v>
      </c>
      <c r="H904" s="114">
        <f t="shared" si="73"/>
        <v>100</v>
      </c>
    </row>
    <row r="905" spans="1:12" ht="15.75" x14ac:dyDescent="0.25">
      <c r="A905" s="335" t="s">
        <v>223</v>
      </c>
      <c r="B905" s="334" t="s">
        <v>159</v>
      </c>
      <c r="C905" s="334" t="s">
        <v>81</v>
      </c>
      <c r="D905" s="334" t="s">
        <v>561</v>
      </c>
      <c r="E905" s="334" t="s">
        <v>94</v>
      </c>
      <c r="F905" s="337">
        <f>'Пр.4 Ведом23'!G444</f>
        <v>40.198999999999998</v>
      </c>
      <c r="G905" s="337">
        <f>'Пр.4 Ведом23'!H444</f>
        <v>40.198999999999998</v>
      </c>
      <c r="H905" s="114">
        <f t="shared" si="73"/>
        <v>100</v>
      </c>
    </row>
    <row r="906" spans="1:12" s="332" customFormat="1" ht="31.5" x14ac:dyDescent="0.25">
      <c r="A906" s="335" t="s">
        <v>1085</v>
      </c>
      <c r="B906" s="334" t="s">
        <v>159</v>
      </c>
      <c r="C906" s="334" t="s">
        <v>81</v>
      </c>
      <c r="D906" s="334" t="s">
        <v>1082</v>
      </c>
      <c r="E906" s="334"/>
      <c r="F906" s="337">
        <f>F907</f>
        <v>117.18</v>
      </c>
      <c r="G906" s="337">
        <f>G907</f>
        <v>117.18</v>
      </c>
      <c r="H906" s="114">
        <f t="shared" si="73"/>
        <v>100</v>
      </c>
      <c r="I906" s="333"/>
      <c r="J906" s="333"/>
      <c r="K906" s="333"/>
    </row>
    <row r="907" spans="1:12" s="332" customFormat="1" ht="31.5" x14ac:dyDescent="0.25">
      <c r="A907" s="335" t="s">
        <v>149</v>
      </c>
      <c r="B907" s="334" t="s">
        <v>159</v>
      </c>
      <c r="C907" s="334" t="s">
        <v>81</v>
      </c>
      <c r="D907" s="334" t="s">
        <v>1082</v>
      </c>
      <c r="E907" s="334" t="s">
        <v>150</v>
      </c>
      <c r="F907" s="337">
        <f>F908</f>
        <v>117.18</v>
      </c>
      <c r="G907" s="337">
        <f>G908</f>
        <v>117.18</v>
      </c>
      <c r="H907" s="114">
        <f t="shared" ref="H907:H970" si="78">G907/F907*100</f>
        <v>100</v>
      </c>
      <c r="I907" s="333"/>
      <c r="J907" s="333"/>
      <c r="K907" s="333"/>
    </row>
    <row r="908" spans="1:12" s="332" customFormat="1" ht="15.75" x14ac:dyDescent="0.25">
      <c r="A908" s="335" t="s">
        <v>151</v>
      </c>
      <c r="B908" s="334" t="s">
        <v>159</v>
      </c>
      <c r="C908" s="334" t="s">
        <v>81</v>
      </c>
      <c r="D908" s="334" t="s">
        <v>1082</v>
      </c>
      <c r="E908" s="334" t="s">
        <v>152</v>
      </c>
      <c r="F908" s="337">
        <f>'Пр.4 Ведом23'!G447</f>
        <v>117.18</v>
      </c>
      <c r="G908" s="337">
        <f>'Пр.4 Ведом23'!H447</f>
        <v>117.18</v>
      </c>
      <c r="H908" s="114">
        <f t="shared" si="78"/>
        <v>100</v>
      </c>
      <c r="I908" s="333"/>
      <c r="J908" s="333"/>
      <c r="K908" s="333"/>
    </row>
    <row r="909" spans="1:12" s="332" customFormat="1" ht="31.5" x14ac:dyDescent="0.25">
      <c r="A909" s="444" t="s">
        <v>1118</v>
      </c>
      <c r="B909" s="334" t="s">
        <v>159</v>
      </c>
      <c r="C909" s="334" t="s">
        <v>81</v>
      </c>
      <c r="D909" s="334" t="s">
        <v>1120</v>
      </c>
      <c r="E909" s="334"/>
      <c r="F909" s="337">
        <f>F910+F912</f>
        <v>1448.7460000000001</v>
      </c>
      <c r="G909" s="337">
        <f>G910+G912</f>
        <v>1448.7460000000001</v>
      </c>
      <c r="H909" s="114">
        <f t="shared" si="78"/>
        <v>100</v>
      </c>
      <c r="I909" s="333"/>
      <c r="J909" s="333"/>
      <c r="K909" s="333"/>
    </row>
    <row r="910" spans="1:12" s="332" customFormat="1" ht="78.75" hidden="1" customHeight="1" x14ac:dyDescent="0.25">
      <c r="A910" s="444" t="s">
        <v>84</v>
      </c>
      <c r="B910" s="334" t="s">
        <v>159</v>
      </c>
      <c r="C910" s="334" t="s">
        <v>81</v>
      </c>
      <c r="D910" s="334" t="s">
        <v>1120</v>
      </c>
      <c r="E910" s="334" t="s">
        <v>85</v>
      </c>
      <c r="F910" s="337">
        <f>F911</f>
        <v>0</v>
      </c>
      <c r="G910" s="337">
        <f>G911</f>
        <v>0</v>
      </c>
      <c r="H910" s="114" t="e">
        <f t="shared" si="78"/>
        <v>#DIV/0!</v>
      </c>
      <c r="I910" s="333"/>
      <c r="J910" s="333"/>
      <c r="K910" s="333"/>
    </row>
    <row r="911" spans="1:12" s="332" customFormat="1" ht="31.5" hidden="1" customHeight="1" x14ac:dyDescent="0.25">
      <c r="A911" s="444" t="s">
        <v>168</v>
      </c>
      <c r="B911" s="334" t="s">
        <v>159</v>
      </c>
      <c r="C911" s="334" t="s">
        <v>81</v>
      </c>
      <c r="D911" s="334" t="s">
        <v>1120</v>
      </c>
      <c r="E911" s="334" t="s">
        <v>117</v>
      </c>
      <c r="F911" s="337">
        <f>'Пр.4 Ведом23'!G450</f>
        <v>0</v>
      </c>
      <c r="G911" s="337">
        <f>'Пр.4 Ведом23'!H450</f>
        <v>0</v>
      </c>
      <c r="H911" s="114" t="e">
        <f t="shared" si="78"/>
        <v>#DIV/0!</v>
      </c>
      <c r="I911" s="333"/>
      <c r="J911" s="333"/>
      <c r="K911" s="333"/>
    </row>
    <row r="912" spans="1:12" s="332" customFormat="1" ht="31.5" x14ac:dyDescent="0.25">
      <c r="A912" s="444" t="s">
        <v>149</v>
      </c>
      <c r="B912" s="334" t="s">
        <v>159</v>
      </c>
      <c r="C912" s="334" t="s">
        <v>81</v>
      </c>
      <c r="D912" s="334" t="s">
        <v>1120</v>
      </c>
      <c r="E912" s="334" t="s">
        <v>150</v>
      </c>
      <c r="F912" s="337">
        <f>F913</f>
        <v>1448.7460000000001</v>
      </c>
      <c r="G912" s="337">
        <f>G913</f>
        <v>1448.7460000000001</v>
      </c>
      <c r="H912" s="114">
        <f t="shared" si="78"/>
        <v>100</v>
      </c>
      <c r="I912" s="333"/>
      <c r="J912" s="333"/>
      <c r="K912" s="333"/>
    </row>
    <row r="913" spans="1:11" s="332" customFormat="1" ht="15.75" x14ac:dyDescent="0.25">
      <c r="A913" s="444" t="s">
        <v>151</v>
      </c>
      <c r="B913" s="334" t="s">
        <v>159</v>
      </c>
      <c r="C913" s="334" t="s">
        <v>81</v>
      </c>
      <c r="D913" s="334" t="s">
        <v>1120</v>
      </c>
      <c r="E913" s="334" t="s">
        <v>152</v>
      </c>
      <c r="F913" s="337">
        <f>'Пр.4 Ведом23'!G452</f>
        <v>1448.7460000000001</v>
      </c>
      <c r="G913" s="337">
        <f>'Пр.4 Ведом23'!H452</f>
        <v>1448.7460000000001</v>
      </c>
      <c r="H913" s="114">
        <f t="shared" si="78"/>
        <v>100</v>
      </c>
      <c r="I913" s="333"/>
      <c r="J913" s="333"/>
      <c r="K913" s="333"/>
    </row>
    <row r="914" spans="1:11" ht="31.5" x14ac:dyDescent="0.25">
      <c r="A914" s="315" t="s">
        <v>623</v>
      </c>
      <c r="B914" s="117" t="s">
        <v>159</v>
      </c>
      <c r="C914" s="117" t="s">
        <v>81</v>
      </c>
      <c r="D914" s="117" t="s">
        <v>562</v>
      </c>
      <c r="E914" s="117"/>
      <c r="F914" s="338">
        <f>F915+F920+F923+F926</f>
        <v>3005.7371199999998</v>
      </c>
      <c r="G914" s="338">
        <f>G915+G920+G923+G926</f>
        <v>3005.7371199999998</v>
      </c>
      <c r="H914" s="113">
        <f t="shared" si="78"/>
        <v>100</v>
      </c>
    </row>
    <row r="915" spans="1:11" ht="31.5" hidden="1" customHeight="1" x14ac:dyDescent="0.25">
      <c r="A915" s="20" t="s">
        <v>290</v>
      </c>
      <c r="B915" s="334" t="s">
        <v>159</v>
      </c>
      <c r="C915" s="334" t="s">
        <v>81</v>
      </c>
      <c r="D915" s="334" t="s">
        <v>564</v>
      </c>
      <c r="E915" s="334"/>
      <c r="F915" s="271">
        <f>F918+F916</f>
        <v>0</v>
      </c>
      <c r="G915" s="271">
        <f>G918+G916</f>
        <v>0</v>
      </c>
      <c r="H915" s="114" t="e">
        <f t="shared" si="78"/>
        <v>#DIV/0!</v>
      </c>
    </row>
    <row r="916" spans="1:11" s="75" customFormat="1" ht="78.75" hidden="1" customHeight="1" x14ac:dyDescent="0.25">
      <c r="A916" s="335" t="s">
        <v>84</v>
      </c>
      <c r="B916" s="334" t="s">
        <v>159</v>
      </c>
      <c r="C916" s="334" t="s">
        <v>81</v>
      </c>
      <c r="D916" s="334" t="s">
        <v>564</v>
      </c>
      <c r="E916" s="334" t="s">
        <v>85</v>
      </c>
      <c r="F916" s="271">
        <f>F917</f>
        <v>0</v>
      </c>
      <c r="G916" s="271">
        <f>G917</f>
        <v>0</v>
      </c>
      <c r="H916" s="114" t="e">
        <f t="shared" si="78"/>
        <v>#DIV/0!</v>
      </c>
      <c r="I916" s="132"/>
      <c r="J916" s="132"/>
      <c r="K916" s="132"/>
    </row>
    <row r="917" spans="1:11" s="75" customFormat="1" ht="15.75" hidden="1" customHeight="1" x14ac:dyDescent="0.25">
      <c r="A917" s="335" t="s">
        <v>116</v>
      </c>
      <c r="B917" s="334" t="s">
        <v>159</v>
      </c>
      <c r="C917" s="334" t="s">
        <v>81</v>
      </c>
      <c r="D917" s="334" t="s">
        <v>564</v>
      </c>
      <c r="E917" s="334" t="s">
        <v>117</v>
      </c>
      <c r="F917" s="271">
        <f>'Пр.4 Ведом23'!G456</f>
        <v>0</v>
      </c>
      <c r="G917" s="271">
        <f>'Пр.4 Ведом23'!H456</f>
        <v>0</v>
      </c>
      <c r="H917" s="114" t="e">
        <f t="shared" si="78"/>
        <v>#DIV/0!</v>
      </c>
      <c r="I917" s="132"/>
      <c r="J917" s="132"/>
      <c r="K917" s="132"/>
    </row>
    <row r="918" spans="1:11" s="75" customFormat="1" ht="31.5" hidden="1" customHeight="1" x14ac:dyDescent="0.25">
      <c r="A918" s="335" t="s">
        <v>88</v>
      </c>
      <c r="B918" s="334" t="s">
        <v>159</v>
      </c>
      <c r="C918" s="334" t="s">
        <v>81</v>
      </c>
      <c r="D918" s="334" t="s">
        <v>564</v>
      </c>
      <c r="E918" s="334" t="s">
        <v>89</v>
      </c>
      <c r="F918" s="271">
        <f>F919</f>
        <v>0</v>
      </c>
      <c r="G918" s="271">
        <f>G919</f>
        <v>0</v>
      </c>
      <c r="H918" s="114" t="e">
        <f t="shared" si="78"/>
        <v>#DIV/0!</v>
      </c>
      <c r="I918" s="132"/>
      <c r="J918" s="132"/>
      <c r="K918" s="132"/>
    </row>
    <row r="919" spans="1:11" ht="31.5" hidden="1" customHeight="1" x14ac:dyDescent="0.25">
      <c r="A919" s="335" t="s">
        <v>90</v>
      </c>
      <c r="B919" s="334" t="s">
        <v>159</v>
      </c>
      <c r="C919" s="334" t="s">
        <v>81</v>
      </c>
      <c r="D919" s="334" t="s">
        <v>564</v>
      </c>
      <c r="E919" s="334" t="s">
        <v>91</v>
      </c>
      <c r="F919" s="271">
        <f>'Пр.4 Ведом23'!G458</f>
        <v>0</v>
      </c>
      <c r="G919" s="271">
        <f>'Пр.4 Ведом23'!H458</f>
        <v>0</v>
      </c>
      <c r="H919" s="114" t="e">
        <f t="shared" si="78"/>
        <v>#DIV/0!</v>
      </c>
    </row>
    <row r="920" spans="1:11" s="75" customFormat="1" ht="31.5" x14ac:dyDescent="0.25">
      <c r="A920" s="335" t="s">
        <v>779</v>
      </c>
      <c r="B920" s="334" t="s">
        <v>159</v>
      </c>
      <c r="C920" s="334" t="s">
        <v>81</v>
      </c>
      <c r="D920" s="334" t="s">
        <v>780</v>
      </c>
      <c r="E920" s="334"/>
      <c r="F920" s="271">
        <f>F921</f>
        <v>1369.8105</v>
      </c>
      <c r="G920" s="271">
        <f>G921</f>
        <v>1369.8105</v>
      </c>
      <c r="H920" s="114">
        <f t="shared" si="78"/>
        <v>100</v>
      </c>
      <c r="I920" s="132"/>
      <c r="J920" s="132"/>
      <c r="K920" s="132"/>
    </row>
    <row r="921" spans="1:11" s="75" customFormat="1" ht="31.5" x14ac:dyDescent="0.25">
      <c r="A921" s="335" t="s">
        <v>149</v>
      </c>
      <c r="B921" s="334" t="s">
        <v>159</v>
      </c>
      <c r="C921" s="334" t="s">
        <v>81</v>
      </c>
      <c r="D921" s="334" t="s">
        <v>780</v>
      </c>
      <c r="E921" s="334" t="s">
        <v>150</v>
      </c>
      <c r="F921" s="271">
        <f>F922</f>
        <v>1369.8105</v>
      </c>
      <c r="G921" s="271">
        <f>G922</f>
        <v>1369.8105</v>
      </c>
      <c r="H921" s="114">
        <f t="shared" si="78"/>
        <v>100</v>
      </c>
      <c r="I921" s="132"/>
      <c r="J921" s="132"/>
      <c r="K921" s="132"/>
    </row>
    <row r="922" spans="1:11" s="75" customFormat="1" ht="15.75" x14ac:dyDescent="0.25">
      <c r="A922" s="335" t="s">
        <v>151</v>
      </c>
      <c r="B922" s="334" t="s">
        <v>159</v>
      </c>
      <c r="C922" s="334" t="s">
        <v>81</v>
      </c>
      <c r="D922" s="334" t="s">
        <v>780</v>
      </c>
      <c r="E922" s="334" t="s">
        <v>152</v>
      </c>
      <c r="F922" s="271">
        <f>'Пр.4 Ведом23'!G461</f>
        <v>1369.8105</v>
      </c>
      <c r="G922" s="271">
        <f>'Пр.4 Ведом23'!H461</f>
        <v>1369.8105</v>
      </c>
      <c r="H922" s="114">
        <f t="shared" si="78"/>
        <v>100</v>
      </c>
      <c r="I922" s="132"/>
      <c r="J922" s="132"/>
      <c r="K922" s="132"/>
    </row>
    <row r="923" spans="1:11" ht="31.5" hidden="1" customHeight="1" x14ac:dyDescent="0.25">
      <c r="A923" s="335" t="s">
        <v>153</v>
      </c>
      <c r="B923" s="334" t="s">
        <v>159</v>
      </c>
      <c r="C923" s="334" t="s">
        <v>81</v>
      </c>
      <c r="D923" s="334" t="s">
        <v>823</v>
      </c>
      <c r="E923" s="334"/>
      <c r="F923" s="337">
        <f>F924</f>
        <v>0</v>
      </c>
      <c r="G923" s="337">
        <f>G924</f>
        <v>0</v>
      </c>
      <c r="H923" s="114" t="e">
        <f t="shared" si="78"/>
        <v>#DIV/0!</v>
      </c>
    </row>
    <row r="924" spans="1:11" ht="31.5" hidden="1" customHeight="1" x14ac:dyDescent="0.25">
      <c r="A924" s="335" t="s">
        <v>149</v>
      </c>
      <c r="B924" s="334" t="s">
        <v>159</v>
      </c>
      <c r="C924" s="334" t="s">
        <v>81</v>
      </c>
      <c r="D924" s="334" t="s">
        <v>823</v>
      </c>
      <c r="E924" s="334" t="s">
        <v>150</v>
      </c>
      <c r="F924" s="337">
        <f>F925</f>
        <v>0</v>
      </c>
      <c r="G924" s="337">
        <f>G925</f>
        <v>0</v>
      </c>
      <c r="H924" s="114" t="e">
        <f t="shared" si="78"/>
        <v>#DIV/0!</v>
      </c>
    </row>
    <row r="925" spans="1:11" ht="15.75" hidden="1" customHeight="1" x14ac:dyDescent="0.25">
      <c r="A925" s="335" t="s">
        <v>151</v>
      </c>
      <c r="B925" s="334" t="s">
        <v>159</v>
      </c>
      <c r="C925" s="334" t="s">
        <v>81</v>
      </c>
      <c r="D925" s="334" t="s">
        <v>831</v>
      </c>
      <c r="E925" s="334" t="s">
        <v>152</v>
      </c>
      <c r="F925" s="337">
        <f>'Пр.4 Ведом23'!G464</f>
        <v>0</v>
      </c>
      <c r="G925" s="337">
        <f>'Пр.4 Ведом23'!H464</f>
        <v>0</v>
      </c>
      <c r="H925" s="114" t="e">
        <f t="shared" si="78"/>
        <v>#DIV/0!</v>
      </c>
    </row>
    <row r="926" spans="1:11" ht="31.5" x14ac:dyDescent="0.25">
      <c r="A926" s="335" t="s">
        <v>855</v>
      </c>
      <c r="B926" s="334" t="s">
        <v>159</v>
      </c>
      <c r="C926" s="334" t="s">
        <v>81</v>
      </c>
      <c r="D926" s="334" t="s">
        <v>824</v>
      </c>
      <c r="E926" s="334"/>
      <c r="F926" s="337">
        <f>F927</f>
        <v>1635.92662</v>
      </c>
      <c r="G926" s="337">
        <f>G927</f>
        <v>1635.92662</v>
      </c>
      <c r="H926" s="114">
        <f t="shared" si="78"/>
        <v>100</v>
      </c>
    </row>
    <row r="927" spans="1:11" ht="31.5" x14ac:dyDescent="0.25">
      <c r="A927" s="335" t="s">
        <v>149</v>
      </c>
      <c r="B927" s="334" t="s">
        <v>159</v>
      </c>
      <c r="C927" s="334" t="s">
        <v>81</v>
      </c>
      <c r="D927" s="334" t="s">
        <v>824</v>
      </c>
      <c r="E927" s="334" t="s">
        <v>150</v>
      </c>
      <c r="F927" s="337">
        <f>F928</f>
        <v>1635.92662</v>
      </c>
      <c r="G927" s="337">
        <f>G928</f>
        <v>1635.92662</v>
      </c>
      <c r="H927" s="114">
        <f t="shared" si="78"/>
        <v>100</v>
      </c>
    </row>
    <row r="928" spans="1:11" ht="15.75" x14ac:dyDescent="0.25">
      <c r="A928" s="335" t="s">
        <v>151</v>
      </c>
      <c r="B928" s="334" t="s">
        <v>159</v>
      </c>
      <c r="C928" s="334" t="s">
        <v>81</v>
      </c>
      <c r="D928" s="334" t="s">
        <v>824</v>
      </c>
      <c r="E928" s="334" t="s">
        <v>152</v>
      </c>
      <c r="F928" s="337">
        <f>'Пр.4 Ведом23'!G467</f>
        <v>1635.92662</v>
      </c>
      <c r="G928" s="337">
        <f>'Пр.4 Ведом23'!H467</f>
        <v>1635.92662</v>
      </c>
      <c r="H928" s="114">
        <f t="shared" si="78"/>
        <v>100</v>
      </c>
    </row>
    <row r="929" spans="1:11" ht="31.5" x14ac:dyDescent="0.25">
      <c r="A929" s="116" t="s">
        <v>380</v>
      </c>
      <c r="B929" s="117" t="s">
        <v>159</v>
      </c>
      <c r="C929" s="117" t="s">
        <v>81</v>
      </c>
      <c r="D929" s="117" t="s">
        <v>565</v>
      </c>
      <c r="E929" s="117"/>
      <c r="F929" s="273">
        <f>F930+F933+F936</f>
        <v>1653.3759599999998</v>
      </c>
      <c r="G929" s="273">
        <f>G930+G933+G936</f>
        <v>1653.3759600000001</v>
      </c>
      <c r="H929" s="113">
        <f t="shared" si="78"/>
        <v>100.00000000000003</v>
      </c>
    </row>
    <row r="930" spans="1:11" ht="47.25" x14ac:dyDescent="0.25">
      <c r="A930" s="335" t="s">
        <v>304</v>
      </c>
      <c r="B930" s="334" t="s">
        <v>159</v>
      </c>
      <c r="C930" s="334" t="s">
        <v>81</v>
      </c>
      <c r="D930" s="334" t="s">
        <v>566</v>
      </c>
      <c r="E930" s="334"/>
      <c r="F930" s="337">
        <f t="shared" ref="F930:G931" si="79">F931</f>
        <v>567.62800000000004</v>
      </c>
      <c r="G930" s="337">
        <f t="shared" si="79"/>
        <v>567.62800000000004</v>
      </c>
      <c r="H930" s="114">
        <f t="shared" si="78"/>
        <v>100</v>
      </c>
    </row>
    <row r="931" spans="1:11" ht="78.75" x14ac:dyDescent="0.25">
      <c r="A931" s="335" t="s">
        <v>84</v>
      </c>
      <c r="B931" s="334" t="s">
        <v>159</v>
      </c>
      <c r="C931" s="334" t="s">
        <v>81</v>
      </c>
      <c r="D931" s="334" t="s">
        <v>566</v>
      </c>
      <c r="E931" s="334" t="s">
        <v>85</v>
      </c>
      <c r="F931" s="337">
        <f t="shared" si="79"/>
        <v>567.62800000000004</v>
      </c>
      <c r="G931" s="337">
        <f t="shared" si="79"/>
        <v>567.62800000000004</v>
      </c>
      <c r="H931" s="114">
        <f t="shared" si="78"/>
        <v>100</v>
      </c>
    </row>
    <row r="932" spans="1:11" ht="31.5" x14ac:dyDescent="0.25">
      <c r="A932" s="335" t="s">
        <v>86</v>
      </c>
      <c r="B932" s="334" t="s">
        <v>159</v>
      </c>
      <c r="C932" s="334" t="s">
        <v>81</v>
      </c>
      <c r="D932" s="334" t="s">
        <v>566</v>
      </c>
      <c r="E932" s="334" t="s">
        <v>117</v>
      </c>
      <c r="F932" s="337">
        <f>'Пр.4 Ведом23'!G471</f>
        <v>567.62800000000004</v>
      </c>
      <c r="G932" s="337">
        <f>'Пр.4 Ведом23'!H471</f>
        <v>567.62800000000004</v>
      </c>
      <c r="H932" s="114">
        <f t="shared" si="78"/>
        <v>100</v>
      </c>
    </row>
    <row r="933" spans="1:11" ht="31.5" x14ac:dyDescent="0.25">
      <c r="A933" s="335" t="s">
        <v>261</v>
      </c>
      <c r="B933" s="334" t="s">
        <v>159</v>
      </c>
      <c r="C933" s="334" t="s">
        <v>81</v>
      </c>
      <c r="D933" s="334" t="s">
        <v>781</v>
      </c>
      <c r="E933" s="334"/>
      <c r="F933" s="337">
        <f>F934</f>
        <v>318.71623999999997</v>
      </c>
      <c r="G933" s="337">
        <f>G934</f>
        <v>318.71624000000003</v>
      </c>
      <c r="H933" s="114">
        <f t="shared" si="78"/>
        <v>100.00000000000003</v>
      </c>
    </row>
    <row r="934" spans="1:11" s="131" customFormat="1" ht="31.5" x14ac:dyDescent="0.25">
      <c r="A934" s="335" t="s">
        <v>149</v>
      </c>
      <c r="B934" s="334" t="s">
        <v>159</v>
      </c>
      <c r="C934" s="334" t="s">
        <v>81</v>
      </c>
      <c r="D934" s="334" t="s">
        <v>781</v>
      </c>
      <c r="E934" s="334" t="s">
        <v>150</v>
      </c>
      <c r="F934" s="337">
        <f>F935</f>
        <v>318.71623999999997</v>
      </c>
      <c r="G934" s="337">
        <f>G935</f>
        <v>318.71624000000003</v>
      </c>
      <c r="H934" s="114">
        <f t="shared" si="78"/>
        <v>100.00000000000003</v>
      </c>
      <c r="I934" s="132"/>
      <c r="J934" s="132"/>
      <c r="K934" s="132"/>
    </row>
    <row r="935" spans="1:11" s="131" customFormat="1" ht="15.75" x14ac:dyDescent="0.25">
      <c r="A935" s="335" t="s">
        <v>151</v>
      </c>
      <c r="B935" s="334" t="s">
        <v>159</v>
      </c>
      <c r="C935" s="334" t="s">
        <v>81</v>
      </c>
      <c r="D935" s="334" t="s">
        <v>781</v>
      </c>
      <c r="E935" s="334" t="s">
        <v>152</v>
      </c>
      <c r="F935" s="337">
        <f>'Пр.4 Ведом23'!G474</f>
        <v>318.71623999999997</v>
      </c>
      <c r="G935" s="337">
        <f>'Пр.4 Ведом23'!H474</f>
        <v>318.71624000000003</v>
      </c>
      <c r="H935" s="114">
        <f t="shared" si="78"/>
        <v>100.00000000000003</v>
      </c>
      <c r="I935" s="132"/>
      <c r="J935" s="132"/>
      <c r="K935" s="132"/>
    </row>
    <row r="936" spans="1:11" s="131" customFormat="1" ht="31.5" x14ac:dyDescent="0.25">
      <c r="A936" s="335" t="s">
        <v>840</v>
      </c>
      <c r="B936" s="334" t="s">
        <v>159</v>
      </c>
      <c r="C936" s="334" t="s">
        <v>81</v>
      </c>
      <c r="D936" s="334" t="s">
        <v>839</v>
      </c>
      <c r="E936" s="334"/>
      <c r="F936" s="337">
        <f>F937</f>
        <v>767.03171999999995</v>
      </c>
      <c r="G936" s="337">
        <f>G937</f>
        <v>767.03171999999995</v>
      </c>
      <c r="H936" s="114">
        <f t="shared" si="78"/>
        <v>100</v>
      </c>
      <c r="I936" s="132"/>
      <c r="J936" s="132"/>
      <c r="K936" s="132"/>
    </row>
    <row r="937" spans="1:11" s="131" customFormat="1" ht="31.5" x14ac:dyDescent="0.25">
      <c r="A937" s="335" t="s">
        <v>149</v>
      </c>
      <c r="B937" s="334" t="s">
        <v>159</v>
      </c>
      <c r="C937" s="334" t="s">
        <v>81</v>
      </c>
      <c r="D937" s="334" t="s">
        <v>839</v>
      </c>
      <c r="E937" s="334" t="s">
        <v>150</v>
      </c>
      <c r="F937" s="337">
        <f>F938</f>
        <v>767.03171999999995</v>
      </c>
      <c r="G937" s="337">
        <f>G938</f>
        <v>767.03171999999995</v>
      </c>
      <c r="H937" s="114">
        <f t="shared" si="78"/>
        <v>100</v>
      </c>
      <c r="I937" s="132"/>
      <c r="J937" s="132"/>
      <c r="K937" s="132"/>
    </row>
    <row r="938" spans="1:11" s="75" customFormat="1" ht="15.75" x14ac:dyDescent="0.25">
      <c r="A938" s="335" t="s">
        <v>151</v>
      </c>
      <c r="B938" s="334" t="s">
        <v>159</v>
      </c>
      <c r="C938" s="334" t="s">
        <v>81</v>
      </c>
      <c r="D938" s="334" t="s">
        <v>839</v>
      </c>
      <c r="E938" s="334" t="s">
        <v>152</v>
      </c>
      <c r="F938" s="337">
        <f>'Пр.4 Ведом23'!G477</f>
        <v>767.03171999999995</v>
      </c>
      <c r="G938" s="337">
        <f>'Пр.4 Ведом23'!H477</f>
        <v>767.03171999999995</v>
      </c>
      <c r="H938" s="114">
        <f t="shared" si="78"/>
        <v>100</v>
      </c>
      <c r="I938" s="132"/>
      <c r="J938" s="132"/>
      <c r="K938" s="132"/>
    </row>
    <row r="939" spans="1:11" s="75" customFormat="1" ht="47.25" x14ac:dyDescent="0.25">
      <c r="A939" s="316" t="s">
        <v>349</v>
      </c>
      <c r="B939" s="117" t="s">
        <v>159</v>
      </c>
      <c r="C939" s="117" t="s">
        <v>81</v>
      </c>
      <c r="D939" s="117" t="s">
        <v>567</v>
      </c>
      <c r="E939" s="117"/>
      <c r="F939" s="338">
        <f>F940+F943</f>
        <v>2242</v>
      </c>
      <c r="G939" s="338">
        <f>G940+G943</f>
        <v>2214.4945199999997</v>
      </c>
      <c r="H939" s="113">
        <f t="shared" si="78"/>
        <v>98.773172167707386</v>
      </c>
      <c r="I939" s="132"/>
      <c r="J939" s="132"/>
      <c r="K939" s="132"/>
    </row>
    <row r="940" spans="1:11" s="75" customFormat="1" ht="78.75" x14ac:dyDescent="0.25">
      <c r="A940" s="335" t="s">
        <v>163</v>
      </c>
      <c r="B940" s="334" t="s">
        <v>159</v>
      </c>
      <c r="C940" s="334" t="s">
        <v>81</v>
      </c>
      <c r="D940" s="334" t="s">
        <v>616</v>
      </c>
      <c r="E940" s="334"/>
      <c r="F940" s="337">
        <f>F941</f>
        <v>210.4</v>
      </c>
      <c r="G940" s="337">
        <f>G941</f>
        <v>182.89452</v>
      </c>
      <c r="H940" s="114">
        <f t="shared" si="78"/>
        <v>86.927053231939169</v>
      </c>
      <c r="I940" s="132"/>
      <c r="J940" s="132"/>
      <c r="K940" s="132"/>
    </row>
    <row r="941" spans="1:11" s="75" customFormat="1" ht="78.75" x14ac:dyDescent="0.25">
      <c r="A941" s="335" t="s">
        <v>84</v>
      </c>
      <c r="B941" s="334" t="s">
        <v>159</v>
      </c>
      <c r="C941" s="334" t="s">
        <v>81</v>
      </c>
      <c r="D941" s="334" t="s">
        <v>616</v>
      </c>
      <c r="E941" s="334" t="s">
        <v>85</v>
      </c>
      <c r="F941" s="337">
        <f>F942</f>
        <v>210.4</v>
      </c>
      <c r="G941" s="337">
        <f>G942</f>
        <v>182.89452</v>
      </c>
      <c r="H941" s="114">
        <f t="shared" si="78"/>
        <v>86.927053231939169</v>
      </c>
      <c r="I941" s="132"/>
      <c r="J941" s="132"/>
      <c r="K941" s="132"/>
    </row>
    <row r="942" spans="1:11" s="75" customFormat="1" ht="15.75" x14ac:dyDescent="0.25">
      <c r="A942" s="335" t="s">
        <v>116</v>
      </c>
      <c r="B942" s="334" t="s">
        <v>159</v>
      </c>
      <c r="C942" s="334" t="s">
        <v>81</v>
      </c>
      <c r="D942" s="334" t="s">
        <v>616</v>
      </c>
      <c r="E942" s="334" t="s">
        <v>117</v>
      </c>
      <c r="F942" s="337">
        <f>'Пр.4 Ведом23'!G481</f>
        <v>210.4</v>
      </c>
      <c r="G942" s="337">
        <f>'Пр.4 Ведом23'!H481</f>
        <v>182.89452</v>
      </c>
      <c r="H942" s="114">
        <f t="shared" si="78"/>
        <v>86.927053231939169</v>
      </c>
      <c r="I942" s="132"/>
      <c r="J942" s="132"/>
      <c r="K942" s="132"/>
    </row>
    <row r="943" spans="1:11" s="75" customFormat="1" ht="47.25" x14ac:dyDescent="0.25">
      <c r="A943" s="335" t="s">
        <v>852</v>
      </c>
      <c r="B943" s="334" t="s">
        <v>159</v>
      </c>
      <c r="C943" s="334" t="s">
        <v>81</v>
      </c>
      <c r="D943" s="334" t="s">
        <v>764</v>
      </c>
      <c r="E943" s="334"/>
      <c r="F943" s="337">
        <f>F944+F946</f>
        <v>2031.6</v>
      </c>
      <c r="G943" s="337">
        <f>G944+G946</f>
        <v>2031.6</v>
      </c>
      <c r="H943" s="114">
        <f t="shared" si="78"/>
        <v>100</v>
      </c>
      <c r="I943" s="132"/>
      <c r="J943" s="132"/>
      <c r="K943" s="132"/>
    </row>
    <row r="944" spans="1:11" s="75" customFormat="1" ht="78.75" x14ac:dyDescent="0.25">
      <c r="A944" s="335" t="s">
        <v>84</v>
      </c>
      <c r="B944" s="334" t="s">
        <v>159</v>
      </c>
      <c r="C944" s="334" t="s">
        <v>81</v>
      </c>
      <c r="D944" s="334" t="s">
        <v>764</v>
      </c>
      <c r="E944" s="334" t="s">
        <v>85</v>
      </c>
      <c r="F944" s="337">
        <f>F945</f>
        <v>1109.3</v>
      </c>
      <c r="G944" s="337">
        <f>G945</f>
        <v>1109.3</v>
      </c>
      <c r="H944" s="114">
        <f t="shared" si="78"/>
        <v>100</v>
      </c>
      <c r="I944" s="132"/>
      <c r="J944" s="132"/>
      <c r="K944" s="132"/>
    </row>
    <row r="945" spans="1:11" s="75" customFormat="1" ht="31.5" x14ac:dyDescent="0.25">
      <c r="A945" s="336" t="s">
        <v>168</v>
      </c>
      <c r="B945" s="334" t="s">
        <v>159</v>
      </c>
      <c r="C945" s="334" t="s">
        <v>81</v>
      </c>
      <c r="D945" s="334" t="s">
        <v>764</v>
      </c>
      <c r="E945" s="334" t="s">
        <v>117</v>
      </c>
      <c r="F945" s="337">
        <f>'Пр.4 Ведом23'!G484</f>
        <v>1109.3</v>
      </c>
      <c r="G945" s="337">
        <f>'Пр.4 Ведом23'!H484</f>
        <v>1109.3</v>
      </c>
      <c r="H945" s="114">
        <f t="shared" si="78"/>
        <v>100</v>
      </c>
      <c r="I945" s="132"/>
      <c r="J945" s="132"/>
      <c r="K945" s="132"/>
    </row>
    <row r="946" spans="1:11" s="75" customFormat="1" ht="31.5" x14ac:dyDescent="0.25">
      <c r="A946" s="335" t="s">
        <v>149</v>
      </c>
      <c r="B946" s="334" t="s">
        <v>159</v>
      </c>
      <c r="C946" s="334" t="s">
        <v>81</v>
      </c>
      <c r="D946" s="334" t="s">
        <v>764</v>
      </c>
      <c r="E946" s="334" t="s">
        <v>150</v>
      </c>
      <c r="F946" s="337">
        <f>F947</f>
        <v>922.3</v>
      </c>
      <c r="G946" s="337">
        <f>G947</f>
        <v>922.3</v>
      </c>
      <c r="H946" s="114">
        <f t="shared" si="78"/>
        <v>100</v>
      </c>
      <c r="I946" s="132"/>
      <c r="J946" s="132"/>
      <c r="K946" s="132"/>
    </row>
    <row r="947" spans="1:11" s="75" customFormat="1" ht="15.75" x14ac:dyDescent="0.25">
      <c r="A947" s="335" t="s">
        <v>151</v>
      </c>
      <c r="B947" s="334" t="s">
        <v>159</v>
      </c>
      <c r="C947" s="334" t="s">
        <v>81</v>
      </c>
      <c r="D947" s="334" t="s">
        <v>764</v>
      </c>
      <c r="E947" s="334" t="s">
        <v>152</v>
      </c>
      <c r="F947" s="337">
        <f>'Пр.4 Ведом23'!G486</f>
        <v>922.3</v>
      </c>
      <c r="G947" s="337">
        <f>'Пр.4 Ведом23'!H486</f>
        <v>922.3</v>
      </c>
      <c r="H947" s="114">
        <f t="shared" si="78"/>
        <v>100</v>
      </c>
      <c r="I947" s="132"/>
      <c r="J947" s="132"/>
      <c r="K947" s="132"/>
    </row>
    <row r="948" spans="1:11" s="75" customFormat="1" ht="31.5" x14ac:dyDescent="0.25">
      <c r="A948" s="116" t="s">
        <v>351</v>
      </c>
      <c r="B948" s="117" t="s">
        <v>159</v>
      </c>
      <c r="C948" s="117" t="s">
        <v>81</v>
      </c>
      <c r="D948" s="117" t="s">
        <v>569</v>
      </c>
      <c r="E948" s="117"/>
      <c r="F948" s="338">
        <f t="shared" ref="F948:G950" si="80">F949</f>
        <v>1000</v>
      </c>
      <c r="G948" s="338">
        <f t="shared" si="80"/>
        <v>1000</v>
      </c>
      <c r="H948" s="113">
        <f t="shared" si="78"/>
        <v>100</v>
      </c>
      <c r="I948" s="132"/>
      <c r="J948" s="132"/>
      <c r="K948" s="132"/>
    </row>
    <row r="949" spans="1:11" s="75" customFormat="1" ht="31.5" x14ac:dyDescent="0.25">
      <c r="A949" s="335" t="s">
        <v>295</v>
      </c>
      <c r="B949" s="334" t="s">
        <v>159</v>
      </c>
      <c r="C949" s="334" t="s">
        <v>81</v>
      </c>
      <c r="D949" s="334" t="s">
        <v>570</v>
      </c>
      <c r="E949" s="334"/>
      <c r="F949" s="337">
        <f t="shared" si="80"/>
        <v>1000</v>
      </c>
      <c r="G949" s="337">
        <f t="shared" si="80"/>
        <v>1000</v>
      </c>
      <c r="H949" s="114">
        <f t="shared" si="78"/>
        <v>100</v>
      </c>
      <c r="I949" s="132"/>
      <c r="J949" s="132"/>
      <c r="K949" s="132"/>
    </row>
    <row r="950" spans="1:11" s="75" customFormat="1" ht="31.5" x14ac:dyDescent="0.25">
      <c r="A950" s="335" t="s">
        <v>88</v>
      </c>
      <c r="B950" s="334" t="s">
        <v>159</v>
      </c>
      <c r="C950" s="334" t="s">
        <v>81</v>
      </c>
      <c r="D950" s="334" t="s">
        <v>570</v>
      </c>
      <c r="E950" s="334" t="s">
        <v>89</v>
      </c>
      <c r="F950" s="337">
        <f t="shared" si="80"/>
        <v>1000</v>
      </c>
      <c r="G950" s="337">
        <f t="shared" si="80"/>
        <v>1000</v>
      </c>
      <c r="H950" s="114">
        <f t="shared" si="78"/>
        <v>100</v>
      </c>
      <c r="I950" s="132"/>
      <c r="J950" s="132"/>
      <c r="K950" s="132"/>
    </row>
    <row r="951" spans="1:11" s="75" customFormat="1" ht="31.5" customHeight="1" x14ac:dyDescent="0.25">
      <c r="A951" s="335" t="s">
        <v>90</v>
      </c>
      <c r="B951" s="334" t="s">
        <v>159</v>
      </c>
      <c r="C951" s="334" t="s">
        <v>81</v>
      </c>
      <c r="D951" s="334" t="s">
        <v>570</v>
      </c>
      <c r="E951" s="334" t="s">
        <v>91</v>
      </c>
      <c r="F951" s="337">
        <f>'Пр.4 Ведом23'!G490</f>
        <v>1000</v>
      </c>
      <c r="G951" s="337">
        <f>'Пр.4 Ведом23'!H490</f>
        <v>1000</v>
      </c>
      <c r="H951" s="114">
        <f t="shared" si="78"/>
        <v>100</v>
      </c>
      <c r="I951" s="132"/>
      <c r="J951" s="132"/>
      <c r="K951" s="132"/>
    </row>
    <row r="952" spans="1:11" s="75" customFormat="1" ht="31.5" hidden="1" customHeight="1" x14ac:dyDescent="0.25">
      <c r="A952" s="116" t="s">
        <v>438</v>
      </c>
      <c r="B952" s="117" t="s">
        <v>159</v>
      </c>
      <c r="C952" s="117" t="s">
        <v>81</v>
      </c>
      <c r="D952" s="117" t="s">
        <v>571</v>
      </c>
      <c r="E952" s="117"/>
      <c r="F952" s="338">
        <f>F953+F956</f>
        <v>0</v>
      </c>
      <c r="G952" s="338">
        <f>G953+G956</f>
        <v>0</v>
      </c>
      <c r="H952" s="114" t="e">
        <f t="shared" si="78"/>
        <v>#DIV/0!</v>
      </c>
      <c r="I952" s="132"/>
      <c r="J952" s="132"/>
      <c r="K952" s="132"/>
    </row>
    <row r="953" spans="1:11" s="75" customFormat="1" ht="31.5" hidden="1" customHeight="1" x14ac:dyDescent="0.25">
      <c r="A953" s="335" t="s">
        <v>669</v>
      </c>
      <c r="B953" s="334" t="s">
        <v>159</v>
      </c>
      <c r="C953" s="334" t="s">
        <v>81</v>
      </c>
      <c r="D953" s="334" t="s">
        <v>572</v>
      </c>
      <c r="E953" s="334"/>
      <c r="F953" s="337">
        <f t="shared" ref="F953:G954" si="81">F954</f>
        <v>0</v>
      </c>
      <c r="G953" s="337">
        <f t="shared" si="81"/>
        <v>0</v>
      </c>
      <c r="H953" s="114" t="e">
        <f t="shared" si="78"/>
        <v>#DIV/0!</v>
      </c>
      <c r="I953" s="132"/>
      <c r="J953" s="132"/>
      <c r="K953" s="132"/>
    </row>
    <row r="954" spans="1:11" ht="31.5" hidden="1" customHeight="1" x14ac:dyDescent="0.25">
      <c r="A954" s="335" t="s">
        <v>88</v>
      </c>
      <c r="B954" s="334" t="s">
        <v>159</v>
      </c>
      <c r="C954" s="334" t="s">
        <v>81</v>
      </c>
      <c r="D954" s="334" t="s">
        <v>572</v>
      </c>
      <c r="E954" s="334" t="s">
        <v>89</v>
      </c>
      <c r="F954" s="337">
        <f t="shared" si="81"/>
        <v>0</v>
      </c>
      <c r="G954" s="337">
        <f t="shared" si="81"/>
        <v>0</v>
      </c>
      <c r="H954" s="114" t="e">
        <f t="shared" si="78"/>
        <v>#DIV/0!</v>
      </c>
    </row>
    <row r="955" spans="1:11" ht="31.5" hidden="1" customHeight="1" x14ac:dyDescent="0.25">
      <c r="A955" s="335" t="s">
        <v>90</v>
      </c>
      <c r="B955" s="334" t="s">
        <v>159</v>
      </c>
      <c r="C955" s="334" t="s">
        <v>81</v>
      </c>
      <c r="D955" s="334" t="s">
        <v>572</v>
      </c>
      <c r="E955" s="334" t="s">
        <v>91</v>
      </c>
      <c r="F955" s="337">
        <f>'Пр.4 Ведом23'!G494</f>
        <v>0</v>
      </c>
      <c r="G955" s="337">
        <f>'Пр.4 Ведом23'!H494</f>
        <v>0</v>
      </c>
      <c r="H955" s="114" t="e">
        <f t="shared" si="78"/>
        <v>#DIV/0!</v>
      </c>
    </row>
    <row r="956" spans="1:11" s="75" customFormat="1" ht="31.5" hidden="1" customHeight="1" x14ac:dyDescent="0.25">
      <c r="A956" s="335" t="s">
        <v>761</v>
      </c>
      <c r="B956" s="334" t="s">
        <v>159</v>
      </c>
      <c r="C956" s="334" t="s">
        <v>81</v>
      </c>
      <c r="D956" s="334" t="s">
        <v>762</v>
      </c>
      <c r="E956" s="334"/>
      <c r="F956" s="337">
        <f>F957</f>
        <v>0</v>
      </c>
      <c r="G956" s="337">
        <f>G957</f>
        <v>0</v>
      </c>
      <c r="H956" s="114" t="e">
        <f t="shared" si="78"/>
        <v>#DIV/0!</v>
      </c>
      <c r="I956" s="132"/>
      <c r="J956" s="132"/>
      <c r="K956" s="132"/>
    </row>
    <row r="957" spans="1:11" s="75" customFormat="1" ht="31.5" hidden="1" customHeight="1" x14ac:dyDescent="0.25">
      <c r="A957" s="335" t="s">
        <v>88</v>
      </c>
      <c r="B957" s="334" t="s">
        <v>159</v>
      </c>
      <c r="C957" s="334" t="s">
        <v>81</v>
      </c>
      <c r="D957" s="334" t="s">
        <v>762</v>
      </c>
      <c r="E957" s="334" t="s">
        <v>89</v>
      </c>
      <c r="F957" s="337">
        <f>F958</f>
        <v>0</v>
      </c>
      <c r="G957" s="337">
        <f>G958</f>
        <v>0</v>
      </c>
      <c r="H957" s="114" t="e">
        <f t="shared" si="78"/>
        <v>#DIV/0!</v>
      </c>
      <c r="I957" s="132"/>
      <c r="J957" s="132"/>
      <c r="K957" s="132"/>
    </row>
    <row r="958" spans="1:11" s="75" customFormat="1" ht="31.5" hidden="1" customHeight="1" x14ac:dyDescent="0.25">
      <c r="A958" s="335" t="s">
        <v>90</v>
      </c>
      <c r="B958" s="334" t="s">
        <v>159</v>
      </c>
      <c r="C958" s="334" t="s">
        <v>81</v>
      </c>
      <c r="D958" s="334" t="s">
        <v>762</v>
      </c>
      <c r="E958" s="334" t="s">
        <v>91</v>
      </c>
      <c r="F958" s="337">
        <f>'Пр.4 Ведом23'!G497</f>
        <v>0</v>
      </c>
      <c r="G958" s="337">
        <f>'Пр.4 Ведом23'!H497</f>
        <v>0</v>
      </c>
      <c r="H958" s="114" t="e">
        <f t="shared" si="78"/>
        <v>#DIV/0!</v>
      </c>
      <c r="I958" s="132"/>
      <c r="J958" s="132"/>
      <c r="K958" s="132"/>
    </row>
    <row r="959" spans="1:11" s="75" customFormat="1" ht="31.5" hidden="1" customHeight="1" x14ac:dyDescent="0.25">
      <c r="A959" s="22" t="s">
        <v>705</v>
      </c>
      <c r="B959" s="117" t="s">
        <v>159</v>
      </c>
      <c r="C959" s="117" t="s">
        <v>81</v>
      </c>
      <c r="D959" s="117" t="s">
        <v>707</v>
      </c>
      <c r="E959" s="117"/>
      <c r="F959" s="338">
        <f t="shared" ref="F959:G961" si="82">F960</f>
        <v>0</v>
      </c>
      <c r="G959" s="338">
        <f t="shared" si="82"/>
        <v>0</v>
      </c>
      <c r="H959" s="114" t="e">
        <f t="shared" si="78"/>
        <v>#DIV/0!</v>
      </c>
      <c r="I959" s="132"/>
      <c r="J959" s="132"/>
      <c r="K959" s="132"/>
    </row>
    <row r="960" spans="1:11" s="75" customFormat="1" ht="63" hidden="1" customHeight="1" x14ac:dyDescent="0.25">
      <c r="A960" s="20" t="s">
        <v>706</v>
      </c>
      <c r="B960" s="334" t="s">
        <v>159</v>
      </c>
      <c r="C960" s="334" t="s">
        <v>81</v>
      </c>
      <c r="D960" s="334" t="s">
        <v>708</v>
      </c>
      <c r="E960" s="334"/>
      <c r="F960" s="337">
        <f t="shared" si="82"/>
        <v>0</v>
      </c>
      <c r="G960" s="337">
        <f t="shared" si="82"/>
        <v>0</v>
      </c>
      <c r="H960" s="114" t="e">
        <f t="shared" si="78"/>
        <v>#DIV/0!</v>
      </c>
      <c r="I960" s="132"/>
      <c r="J960" s="132"/>
      <c r="K960" s="132"/>
    </row>
    <row r="961" spans="1:11" s="75" customFormat="1" ht="31.5" hidden="1" customHeight="1" x14ac:dyDescent="0.25">
      <c r="A961" s="335" t="s">
        <v>88</v>
      </c>
      <c r="B961" s="334" t="s">
        <v>159</v>
      </c>
      <c r="C961" s="334" t="s">
        <v>81</v>
      </c>
      <c r="D961" s="334" t="s">
        <v>708</v>
      </c>
      <c r="E961" s="334" t="s">
        <v>89</v>
      </c>
      <c r="F961" s="337">
        <f t="shared" si="82"/>
        <v>0</v>
      </c>
      <c r="G961" s="337">
        <f t="shared" si="82"/>
        <v>0</v>
      </c>
      <c r="H961" s="114" t="e">
        <f t="shared" si="78"/>
        <v>#DIV/0!</v>
      </c>
      <c r="I961" s="132"/>
      <c r="J961" s="132"/>
      <c r="K961" s="132"/>
    </row>
    <row r="962" spans="1:11" s="75" customFormat="1" ht="31.5" hidden="1" customHeight="1" x14ac:dyDescent="0.25">
      <c r="A962" s="335" t="s">
        <v>90</v>
      </c>
      <c r="B962" s="334" t="s">
        <v>159</v>
      </c>
      <c r="C962" s="334" t="s">
        <v>81</v>
      </c>
      <c r="D962" s="334" t="s">
        <v>708</v>
      </c>
      <c r="E962" s="334" t="s">
        <v>91</v>
      </c>
      <c r="F962" s="337">
        <f>'Пр.4 Ведом23'!G501</f>
        <v>0</v>
      </c>
      <c r="G962" s="337">
        <f>'Пр.4 Ведом23'!H501</f>
        <v>0</v>
      </c>
      <c r="H962" s="114" t="e">
        <f t="shared" si="78"/>
        <v>#DIV/0!</v>
      </c>
      <c r="I962" s="132"/>
      <c r="J962" s="132"/>
      <c r="K962" s="132"/>
    </row>
    <row r="963" spans="1:11" s="75" customFormat="1" ht="31.5" hidden="1" customHeight="1" x14ac:dyDescent="0.25">
      <c r="A963" s="116" t="s">
        <v>828</v>
      </c>
      <c r="B963" s="117" t="s">
        <v>159</v>
      </c>
      <c r="C963" s="117" t="s">
        <v>81</v>
      </c>
      <c r="D963" s="117" t="s">
        <v>825</v>
      </c>
      <c r="E963" s="117"/>
      <c r="F963" s="338">
        <f t="shared" ref="F963:G965" si="83">F964</f>
        <v>0</v>
      </c>
      <c r="G963" s="338">
        <f t="shared" si="83"/>
        <v>0</v>
      </c>
      <c r="H963" s="114" t="e">
        <f t="shared" si="78"/>
        <v>#DIV/0!</v>
      </c>
      <c r="I963" s="132"/>
      <c r="J963" s="132"/>
      <c r="K963" s="132"/>
    </row>
    <row r="964" spans="1:11" s="75" customFormat="1" ht="47.25" hidden="1" customHeight="1" x14ac:dyDescent="0.25">
      <c r="A964" s="335" t="s">
        <v>826</v>
      </c>
      <c r="B964" s="334" t="s">
        <v>159</v>
      </c>
      <c r="C964" s="334" t="s">
        <v>81</v>
      </c>
      <c r="D964" s="334" t="s">
        <v>827</v>
      </c>
      <c r="E964" s="334"/>
      <c r="F964" s="337">
        <f t="shared" si="83"/>
        <v>0</v>
      </c>
      <c r="G964" s="337">
        <f t="shared" si="83"/>
        <v>0</v>
      </c>
      <c r="H964" s="114" t="e">
        <f t="shared" si="78"/>
        <v>#DIV/0!</v>
      </c>
      <c r="I964" s="132"/>
      <c r="J964" s="132"/>
      <c r="K964" s="132"/>
    </row>
    <row r="965" spans="1:11" s="75" customFormat="1" ht="31.5" hidden="1" customHeight="1" x14ac:dyDescent="0.25">
      <c r="A965" s="335" t="s">
        <v>149</v>
      </c>
      <c r="B965" s="334" t="s">
        <v>159</v>
      </c>
      <c r="C965" s="334" t="s">
        <v>81</v>
      </c>
      <c r="D965" s="334" t="s">
        <v>827</v>
      </c>
      <c r="E965" s="334" t="s">
        <v>150</v>
      </c>
      <c r="F965" s="337">
        <f t="shared" si="83"/>
        <v>0</v>
      </c>
      <c r="G965" s="337">
        <f t="shared" si="83"/>
        <v>0</v>
      </c>
      <c r="H965" s="114" t="e">
        <f t="shared" si="78"/>
        <v>#DIV/0!</v>
      </c>
      <c r="I965" s="132"/>
      <c r="J965" s="132"/>
      <c r="K965" s="132"/>
    </row>
    <row r="966" spans="1:11" s="75" customFormat="1" ht="15.75" hidden="1" customHeight="1" x14ac:dyDescent="0.25">
      <c r="A966" s="335" t="s">
        <v>151</v>
      </c>
      <c r="B966" s="334" t="s">
        <v>159</v>
      </c>
      <c r="C966" s="334" t="s">
        <v>81</v>
      </c>
      <c r="D966" s="334" t="s">
        <v>827</v>
      </c>
      <c r="E966" s="334" t="s">
        <v>152</v>
      </c>
      <c r="F966" s="337">
        <f>'Пр.4 Ведом23'!G505</f>
        <v>0</v>
      </c>
      <c r="G966" s="337">
        <f>'Пр.4 Ведом23'!H505</f>
        <v>0</v>
      </c>
      <c r="H966" s="114" t="e">
        <f t="shared" si="78"/>
        <v>#DIV/0!</v>
      </c>
      <c r="I966" s="132"/>
      <c r="J966" s="132"/>
      <c r="K966" s="132"/>
    </row>
    <row r="967" spans="1:11" s="75" customFormat="1" ht="47.25" x14ac:dyDescent="0.25">
      <c r="A967" s="30" t="s">
        <v>861</v>
      </c>
      <c r="B967" s="117" t="s">
        <v>159</v>
      </c>
      <c r="C967" s="117" t="s">
        <v>81</v>
      </c>
      <c r="D967" s="117" t="s">
        <v>568</v>
      </c>
      <c r="E967" s="117"/>
      <c r="F967" s="338">
        <f>F971+F968</f>
        <v>5000</v>
      </c>
      <c r="G967" s="338">
        <f>G971+G968</f>
        <v>5000</v>
      </c>
      <c r="H967" s="113">
        <f t="shared" si="78"/>
        <v>100</v>
      </c>
      <c r="I967" s="132"/>
      <c r="J967" s="132"/>
      <c r="K967" s="132"/>
    </row>
    <row r="968" spans="1:11" s="75" customFormat="1" ht="15.75" x14ac:dyDescent="0.25">
      <c r="A968" s="121" t="s">
        <v>856</v>
      </c>
      <c r="B968" s="334" t="s">
        <v>159</v>
      </c>
      <c r="C968" s="334" t="s">
        <v>81</v>
      </c>
      <c r="D968" s="334" t="s">
        <v>857</v>
      </c>
      <c r="E968" s="334"/>
      <c r="F968" s="337">
        <f>F969</f>
        <v>5000</v>
      </c>
      <c r="G968" s="337">
        <f>G969</f>
        <v>5000</v>
      </c>
      <c r="H968" s="114">
        <f t="shared" si="78"/>
        <v>100</v>
      </c>
      <c r="I968" s="132"/>
      <c r="J968" s="132"/>
      <c r="K968" s="132"/>
    </row>
    <row r="969" spans="1:11" s="75" customFormat="1" ht="31.5" x14ac:dyDescent="0.25">
      <c r="A969" s="335" t="s">
        <v>88</v>
      </c>
      <c r="B969" s="334" t="s">
        <v>159</v>
      </c>
      <c r="C969" s="334" t="s">
        <v>81</v>
      </c>
      <c r="D969" s="334" t="s">
        <v>857</v>
      </c>
      <c r="E969" s="334" t="s">
        <v>89</v>
      </c>
      <c r="F969" s="337">
        <f>F970</f>
        <v>5000</v>
      </c>
      <c r="G969" s="337">
        <f>G970</f>
        <v>5000</v>
      </c>
      <c r="H969" s="114">
        <f t="shared" si="78"/>
        <v>100</v>
      </c>
      <c r="I969" s="132"/>
      <c r="J969" s="132"/>
      <c r="K969" s="132"/>
    </row>
    <row r="970" spans="1:11" s="75" customFormat="1" ht="31.5" customHeight="1" x14ac:dyDescent="0.25">
      <c r="A970" s="335" t="s">
        <v>90</v>
      </c>
      <c r="B970" s="334" t="s">
        <v>159</v>
      </c>
      <c r="C970" s="334" t="s">
        <v>81</v>
      </c>
      <c r="D970" s="334" t="s">
        <v>857</v>
      </c>
      <c r="E970" s="334" t="s">
        <v>91</v>
      </c>
      <c r="F970" s="337">
        <f>'Пр.4 Ведом23'!G509</f>
        <v>5000</v>
      </c>
      <c r="G970" s="337">
        <f>'Пр.4 Ведом23'!H509</f>
        <v>5000</v>
      </c>
      <c r="H970" s="114">
        <f t="shared" si="78"/>
        <v>100</v>
      </c>
      <c r="I970" s="132"/>
      <c r="J970" s="132"/>
      <c r="K970" s="132"/>
    </row>
    <row r="971" spans="1:11" s="75" customFormat="1" ht="15.75" hidden="1" customHeight="1" x14ac:dyDescent="0.25">
      <c r="A971" s="225" t="s">
        <v>759</v>
      </c>
      <c r="B971" s="334" t="s">
        <v>159</v>
      </c>
      <c r="C971" s="334" t="s">
        <v>81</v>
      </c>
      <c r="D971" s="334" t="s">
        <v>760</v>
      </c>
      <c r="E971" s="117"/>
      <c r="F971" s="337">
        <f>F972</f>
        <v>0</v>
      </c>
      <c r="G971" s="337">
        <f>G972</f>
        <v>0</v>
      </c>
      <c r="H971" s="114" t="e">
        <f t="shared" ref="H971:H1034" si="84">G971/F971*100</f>
        <v>#DIV/0!</v>
      </c>
      <c r="I971" s="132"/>
      <c r="J971" s="132"/>
      <c r="K971" s="132"/>
    </row>
    <row r="972" spans="1:11" s="75" customFormat="1" ht="31.5" hidden="1" customHeight="1" x14ac:dyDescent="0.25">
      <c r="A972" s="335" t="s">
        <v>149</v>
      </c>
      <c r="B972" s="334" t="s">
        <v>159</v>
      </c>
      <c r="C972" s="334" t="s">
        <v>81</v>
      </c>
      <c r="D972" s="334" t="s">
        <v>760</v>
      </c>
      <c r="E972" s="334" t="s">
        <v>150</v>
      </c>
      <c r="F972" s="337">
        <f>F973</f>
        <v>0</v>
      </c>
      <c r="G972" s="337">
        <f>G973</f>
        <v>0</v>
      </c>
      <c r="H972" s="114" t="e">
        <f t="shared" si="84"/>
        <v>#DIV/0!</v>
      </c>
      <c r="I972" s="132"/>
      <c r="J972" s="132"/>
      <c r="K972" s="132"/>
    </row>
    <row r="973" spans="1:11" s="75" customFormat="1" ht="15.75" hidden="1" customHeight="1" x14ac:dyDescent="0.25">
      <c r="A973" s="335" t="s">
        <v>151</v>
      </c>
      <c r="B973" s="334" t="s">
        <v>159</v>
      </c>
      <c r="C973" s="334" t="s">
        <v>81</v>
      </c>
      <c r="D973" s="334" t="s">
        <v>760</v>
      </c>
      <c r="E973" s="334" t="s">
        <v>152</v>
      </c>
      <c r="F973" s="337">
        <f>'Пр.4 Ведом23'!G512</f>
        <v>0</v>
      </c>
      <c r="G973" s="337">
        <f>'Пр.4 Ведом23'!H512</f>
        <v>0</v>
      </c>
      <c r="H973" s="114" t="e">
        <f t="shared" si="84"/>
        <v>#DIV/0!</v>
      </c>
      <c r="I973" s="132"/>
      <c r="J973" s="132"/>
      <c r="K973" s="132"/>
    </row>
    <row r="974" spans="1:11" s="75" customFormat="1" ht="31.5" hidden="1" customHeight="1" x14ac:dyDescent="0.25">
      <c r="A974" s="116" t="s">
        <v>811</v>
      </c>
      <c r="B974" s="117" t="s">
        <v>159</v>
      </c>
      <c r="C974" s="117" t="s">
        <v>81</v>
      </c>
      <c r="D974" s="117" t="s">
        <v>776</v>
      </c>
      <c r="E974" s="117"/>
      <c r="F974" s="338">
        <f>F975</f>
        <v>0</v>
      </c>
      <c r="G974" s="338">
        <f>G975</f>
        <v>0</v>
      </c>
      <c r="H974" s="114" t="e">
        <f t="shared" si="84"/>
        <v>#DIV/0!</v>
      </c>
      <c r="I974" s="132"/>
      <c r="J974" s="132"/>
      <c r="K974" s="132"/>
    </row>
    <row r="975" spans="1:11" s="75" customFormat="1" ht="15.75" hidden="1" customHeight="1" x14ac:dyDescent="0.25">
      <c r="A975" s="26" t="s">
        <v>552</v>
      </c>
      <c r="B975" s="334" t="s">
        <v>159</v>
      </c>
      <c r="C975" s="334" t="s">
        <v>81</v>
      </c>
      <c r="D975" s="334" t="s">
        <v>777</v>
      </c>
      <c r="E975" s="334"/>
      <c r="F975" s="337">
        <f>F976+F978</f>
        <v>0</v>
      </c>
      <c r="G975" s="337">
        <f>G976+G978</f>
        <v>0</v>
      </c>
      <c r="H975" s="114" t="e">
        <f t="shared" si="84"/>
        <v>#DIV/0!</v>
      </c>
      <c r="I975" s="132"/>
      <c r="J975" s="132"/>
      <c r="K975" s="132"/>
    </row>
    <row r="976" spans="1:11" s="75" customFormat="1" ht="31.5" hidden="1" customHeight="1" x14ac:dyDescent="0.25">
      <c r="A976" s="335" t="s">
        <v>88</v>
      </c>
      <c r="B976" s="334" t="s">
        <v>159</v>
      </c>
      <c r="C976" s="334" t="s">
        <v>81</v>
      </c>
      <c r="D976" s="334" t="s">
        <v>777</v>
      </c>
      <c r="E976" s="334" t="s">
        <v>89</v>
      </c>
      <c r="F976" s="337">
        <f t="shared" ref="F976:G976" si="85">F977</f>
        <v>0</v>
      </c>
      <c r="G976" s="337">
        <f t="shared" si="85"/>
        <v>0</v>
      </c>
      <c r="H976" s="114" t="e">
        <f t="shared" si="84"/>
        <v>#DIV/0!</v>
      </c>
      <c r="I976" s="132"/>
      <c r="J976" s="132"/>
      <c r="K976" s="132"/>
    </row>
    <row r="977" spans="1:11" s="75" customFormat="1" ht="31.5" hidden="1" customHeight="1" x14ac:dyDescent="0.25">
      <c r="A977" s="335" t="s">
        <v>90</v>
      </c>
      <c r="B977" s="334" t="s">
        <v>159</v>
      </c>
      <c r="C977" s="334" t="s">
        <v>81</v>
      </c>
      <c r="D977" s="334" t="s">
        <v>777</v>
      </c>
      <c r="E977" s="334" t="s">
        <v>91</v>
      </c>
      <c r="F977" s="337">
        <f>'Пр.4 Ведом23'!G516</f>
        <v>0</v>
      </c>
      <c r="G977" s="337">
        <f>'Пр.4 Ведом23'!H516</f>
        <v>0</v>
      </c>
      <c r="H977" s="114" t="e">
        <f t="shared" si="84"/>
        <v>#DIV/0!</v>
      </c>
      <c r="I977" s="132"/>
      <c r="J977" s="132"/>
      <c r="K977" s="132"/>
    </row>
    <row r="978" spans="1:11" s="75" customFormat="1" ht="31.5" hidden="1" customHeight="1" x14ac:dyDescent="0.25">
      <c r="A978" s="335" t="s">
        <v>149</v>
      </c>
      <c r="B978" s="334" t="s">
        <v>159</v>
      </c>
      <c r="C978" s="334" t="s">
        <v>81</v>
      </c>
      <c r="D978" s="334" t="s">
        <v>777</v>
      </c>
      <c r="E978" s="334" t="s">
        <v>150</v>
      </c>
      <c r="F978" s="337">
        <f>F979</f>
        <v>0</v>
      </c>
      <c r="G978" s="337">
        <f>G979</f>
        <v>0</v>
      </c>
      <c r="H978" s="114" t="e">
        <f t="shared" si="84"/>
        <v>#DIV/0!</v>
      </c>
      <c r="I978" s="132"/>
      <c r="J978" s="132"/>
      <c r="K978" s="132"/>
    </row>
    <row r="979" spans="1:11" s="75" customFormat="1" ht="15.75" hidden="1" customHeight="1" x14ac:dyDescent="0.25">
      <c r="A979" s="335" t="s">
        <v>151</v>
      </c>
      <c r="B979" s="334" t="s">
        <v>159</v>
      </c>
      <c r="C979" s="334" t="s">
        <v>81</v>
      </c>
      <c r="D979" s="334" t="s">
        <v>777</v>
      </c>
      <c r="E979" s="334" t="s">
        <v>152</v>
      </c>
      <c r="F979" s="337">
        <f>'Пр.4 Ведом23'!G518</f>
        <v>0</v>
      </c>
      <c r="G979" s="337">
        <f>'Пр.4 Ведом23'!H518</f>
        <v>0</v>
      </c>
      <c r="H979" s="114" t="e">
        <f t="shared" si="84"/>
        <v>#DIV/0!</v>
      </c>
      <c r="I979" s="132"/>
      <c r="J979" s="132"/>
      <c r="K979" s="132"/>
    </row>
    <row r="980" spans="1:11" s="75" customFormat="1" ht="47.25" hidden="1" customHeight="1" x14ac:dyDescent="0.25">
      <c r="A980" s="22" t="s">
        <v>905</v>
      </c>
      <c r="B980" s="117" t="s">
        <v>159</v>
      </c>
      <c r="C980" s="117" t="s">
        <v>81</v>
      </c>
      <c r="D980" s="117" t="s">
        <v>162</v>
      </c>
      <c r="E980" s="117"/>
      <c r="F980" s="338">
        <f>F981</f>
        <v>0</v>
      </c>
      <c r="G980" s="338">
        <f>G981</f>
        <v>0</v>
      </c>
      <c r="H980" s="114" t="e">
        <f t="shared" si="84"/>
        <v>#DIV/0!</v>
      </c>
      <c r="I980" s="132"/>
      <c r="J980" s="132"/>
      <c r="K980" s="132"/>
    </row>
    <row r="981" spans="1:11" s="75" customFormat="1" ht="63" hidden="1" customHeight="1" x14ac:dyDescent="0.25">
      <c r="A981" s="22" t="s">
        <v>452</v>
      </c>
      <c r="B981" s="117" t="s">
        <v>159</v>
      </c>
      <c r="C981" s="117" t="s">
        <v>81</v>
      </c>
      <c r="D981" s="117" t="s">
        <v>372</v>
      </c>
      <c r="E981" s="117"/>
      <c r="F981" s="338">
        <f>F984+F985</f>
        <v>0</v>
      </c>
      <c r="G981" s="338">
        <f>G984+G985</f>
        <v>0</v>
      </c>
      <c r="H981" s="114" t="e">
        <f t="shared" si="84"/>
        <v>#DIV/0!</v>
      </c>
      <c r="I981" s="132"/>
      <c r="J981" s="132"/>
      <c r="K981" s="132"/>
    </row>
    <row r="982" spans="1:11" s="75" customFormat="1" ht="47.25" hidden="1" customHeight="1" x14ac:dyDescent="0.25">
      <c r="A982" s="20" t="s">
        <v>493</v>
      </c>
      <c r="B982" s="334" t="s">
        <v>159</v>
      </c>
      <c r="C982" s="334" t="s">
        <v>81</v>
      </c>
      <c r="D982" s="334" t="s">
        <v>453</v>
      </c>
      <c r="E982" s="334"/>
      <c r="F982" s="337">
        <f>F983</f>
        <v>0</v>
      </c>
      <c r="G982" s="337">
        <f>G983</f>
        <v>0</v>
      </c>
      <c r="H982" s="114" t="e">
        <f t="shared" si="84"/>
        <v>#DIV/0!</v>
      </c>
      <c r="I982" s="132"/>
      <c r="J982" s="132"/>
      <c r="K982" s="132"/>
    </row>
    <row r="983" spans="1:11" s="75" customFormat="1" ht="31.5" hidden="1" customHeight="1" x14ac:dyDescent="0.25">
      <c r="A983" s="335" t="s">
        <v>88</v>
      </c>
      <c r="B983" s="334" t="s">
        <v>159</v>
      </c>
      <c r="C983" s="334" t="s">
        <v>81</v>
      </c>
      <c r="D983" s="334" t="s">
        <v>453</v>
      </c>
      <c r="E983" s="334" t="s">
        <v>89</v>
      </c>
      <c r="F983" s="337">
        <f>F984</f>
        <v>0</v>
      </c>
      <c r="G983" s="337">
        <f>G984</f>
        <v>0</v>
      </c>
      <c r="H983" s="114" t="e">
        <f t="shared" si="84"/>
        <v>#DIV/0!</v>
      </c>
      <c r="I983" s="132"/>
      <c r="J983" s="132"/>
      <c r="K983" s="132"/>
    </row>
    <row r="984" spans="1:11" s="75" customFormat="1" ht="31.5" hidden="1" customHeight="1" x14ac:dyDescent="0.25">
      <c r="A984" s="335" t="s">
        <v>90</v>
      </c>
      <c r="B984" s="334" t="s">
        <v>159</v>
      </c>
      <c r="C984" s="334" t="s">
        <v>81</v>
      </c>
      <c r="D984" s="334" t="s">
        <v>453</v>
      </c>
      <c r="E984" s="334" t="s">
        <v>91</v>
      </c>
      <c r="F984" s="337">
        <f>'Пр.4 Ведом23'!G523</f>
        <v>0</v>
      </c>
      <c r="G984" s="337">
        <f>'Пр.4 Ведом23'!H523</f>
        <v>0</v>
      </c>
      <c r="H984" s="114" t="e">
        <f t="shared" si="84"/>
        <v>#DIV/0!</v>
      </c>
      <c r="I984" s="132"/>
      <c r="J984" s="132"/>
      <c r="K984" s="132"/>
    </row>
    <row r="985" spans="1:11" s="75" customFormat="1" ht="47.25" hidden="1" customHeight="1" x14ac:dyDescent="0.25">
      <c r="A985" s="335" t="s">
        <v>436</v>
      </c>
      <c r="B985" s="334" t="s">
        <v>159</v>
      </c>
      <c r="C985" s="334" t="s">
        <v>81</v>
      </c>
      <c r="D985" s="334" t="s">
        <v>373</v>
      </c>
      <c r="E985" s="334"/>
      <c r="F985" s="337">
        <f>F986</f>
        <v>0</v>
      </c>
      <c r="G985" s="337">
        <f>G986</f>
        <v>0</v>
      </c>
      <c r="H985" s="114" t="e">
        <f t="shared" si="84"/>
        <v>#DIV/0!</v>
      </c>
      <c r="I985" s="132"/>
      <c r="J985" s="132"/>
      <c r="K985" s="132"/>
    </row>
    <row r="986" spans="1:11" s="75" customFormat="1" ht="31.5" hidden="1" customHeight="1" x14ac:dyDescent="0.25">
      <c r="A986" s="335" t="s">
        <v>149</v>
      </c>
      <c r="B986" s="334" t="s">
        <v>159</v>
      </c>
      <c r="C986" s="334" t="s">
        <v>81</v>
      </c>
      <c r="D986" s="334" t="s">
        <v>373</v>
      </c>
      <c r="E986" s="334" t="s">
        <v>150</v>
      </c>
      <c r="F986" s="337">
        <f>F987</f>
        <v>0</v>
      </c>
      <c r="G986" s="337">
        <f>G987</f>
        <v>0</v>
      </c>
      <c r="H986" s="114" t="e">
        <f t="shared" si="84"/>
        <v>#DIV/0!</v>
      </c>
      <c r="I986" s="132"/>
      <c r="J986" s="132"/>
      <c r="K986" s="132"/>
    </row>
    <row r="987" spans="1:11" s="75" customFormat="1" ht="20.25" hidden="1" customHeight="1" x14ac:dyDescent="0.25">
      <c r="A987" s="335" t="s">
        <v>151</v>
      </c>
      <c r="B987" s="334" t="s">
        <v>159</v>
      </c>
      <c r="C987" s="334" t="s">
        <v>81</v>
      </c>
      <c r="D987" s="334" t="s">
        <v>373</v>
      </c>
      <c r="E987" s="334" t="s">
        <v>152</v>
      </c>
      <c r="F987" s="337">
        <f>'Пр.4 Ведом23'!G526</f>
        <v>0</v>
      </c>
      <c r="G987" s="337">
        <f>'Пр.4 Ведом23'!H526</f>
        <v>0</v>
      </c>
      <c r="H987" s="114" t="e">
        <f t="shared" si="84"/>
        <v>#DIV/0!</v>
      </c>
      <c r="I987" s="132"/>
      <c r="J987" s="132"/>
      <c r="K987" s="132"/>
    </row>
    <row r="988" spans="1:11" s="131" customFormat="1" ht="42" customHeight="1" x14ac:dyDescent="0.25">
      <c r="A988" s="116" t="s">
        <v>1062</v>
      </c>
      <c r="B988" s="117" t="s">
        <v>159</v>
      </c>
      <c r="C988" s="117" t="s">
        <v>81</v>
      </c>
      <c r="D988" s="117" t="s">
        <v>165</v>
      </c>
      <c r="E988" s="117"/>
      <c r="F988" s="338">
        <f>F989</f>
        <v>279.90001000000001</v>
      </c>
      <c r="G988" s="338">
        <f>G989</f>
        <v>279.90001000000001</v>
      </c>
      <c r="H988" s="114">
        <f t="shared" si="84"/>
        <v>100</v>
      </c>
      <c r="I988" s="214"/>
      <c r="J988" s="214"/>
      <c r="K988" s="214"/>
    </row>
    <row r="989" spans="1:11" s="131" customFormat="1" ht="31.5" x14ac:dyDescent="0.25">
      <c r="A989" s="335" t="s">
        <v>166</v>
      </c>
      <c r="B989" s="334" t="s">
        <v>159</v>
      </c>
      <c r="C989" s="334" t="s">
        <v>81</v>
      </c>
      <c r="D989" s="334" t="s">
        <v>474</v>
      </c>
      <c r="E989" s="334" t="s">
        <v>150</v>
      </c>
      <c r="F989" s="337">
        <f>F990</f>
        <v>279.90001000000001</v>
      </c>
      <c r="G989" s="337">
        <f>G990</f>
        <v>279.90001000000001</v>
      </c>
      <c r="H989" s="114">
        <f t="shared" si="84"/>
        <v>100</v>
      </c>
      <c r="I989" s="214"/>
      <c r="J989" s="214"/>
      <c r="K989" s="214"/>
    </row>
    <row r="990" spans="1:11" s="131" customFormat="1" ht="15.75" x14ac:dyDescent="0.25">
      <c r="A990" s="335" t="s">
        <v>151</v>
      </c>
      <c r="B990" s="334" t="s">
        <v>159</v>
      </c>
      <c r="C990" s="334" t="s">
        <v>81</v>
      </c>
      <c r="D990" s="334" t="s">
        <v>474</v>
      </c>
      <c r="E990" s="334" t="s">
        <v>152</v>
      </c>
      <c r="F990" s="337">
        <f>'Пр.4 Ведом23'!G529</f>
        <v>279.90001000000001</v>
      </c>
      <c r="G990" s="337">
        <f>'Пр.4 Ведом23'!H529</f>
        <v>279.90001000000001</v>
      </c>
      <c r="H990" s="114">
        <f t="shared" si="84"/>
        <v>100</v>
      </c>
      <c r="I990" s="214"/>
      <c r="J990" s="214"/>
      <c r="K990" s="214"/>
    </row>
    <row r="991" spans="1:11" s="75" customFormat="1" ht="47.25" x14ac:dyDescent="0.25">
      <c r="A991" s="130" t="s">
        <v>853</v>
      </c>
      <c r="B991" s="117" t="s">
        <v>159</v>
      </c>
      <c r="C991" s="117" t="s">
        <v>81</v>
      </c>
      <c r="D991" s="117" t="s">
        <v>259</v>
      </c>
      <c r="E991" s="118"/>
      <c r="F991" s="338">
        <f t="shared" ref="F991:G994" si="86">F992</f>
        <v>840.43831999999998</v>
      </c>
      <c r="G991" s="338">
        <f t="shared" si="86"/>
        <v>840.43831999999998</v>
      </c>
      <c r="H991" s="113">
        <f t="shared" si="84"/>
        <v>100</v>
      </c>
      <c r="I991" s="132"/>
      <c r="J991" s="132"/>
      <c r="K991" s="132"/>
    </row>
    <row r="992" spans="1:11" s="75" customFormat="1" ht="47.25" x14ac:dyDescent="0.25">
      <c r="A992" s="130" t="s">
        <v>341</v>
      </c>
      <c r="B992" s="117" t="s">
        <v>159</v>
      </c>
      <c r="C992" s="117" t="s">
        <v>81</v>
      </c>
      <c r="D992" s="117" t="s">
        <v>339</v>
      </c>
      <c r="E992" s="119"/>
      <c r="F992" s="338">
        <f>F993+F996</f>
        <v>840.43831999999998</v>
      </c>
      <c r="G992" s="338">
        <f>G993+G996</f>
        <v>840.43831999999998</v>
      </c>
      <c r="H992" s="113">
        <f t="shared" si="84"/>
        <v>100</v>
      </c>
      <c r="I992" s="132"/>
      <c r="J992" s="132"/>
      <c r="K992" s="132"/>
    </row>
    <row r="993" spans="1:11" s="75" customFormat="1" ht="47.25" x14ac:dyDescent="0.25">
      <c r="A993" s="26" t="s">
        <v>449</v>
      </c>
      <c r="B993" s="334" t="s">
        <v>159</v>
      </c>
      <c r="C993" s="334" t="s">
        <v>81</v>
      </c>
      <c r="D993" s="334" t="s">
        <v>340</v>
      </c>
      <c r="E993" s="118"/>
      <c r="F993" s="337">
        <f t="shared" si="86"/>
        <v>476.08296000000001</v>
      </c>
      <c r="G993" s="337">
        <f t="shared" si="86"/>
        <v>476.08296000000001</v>
      </c>
      <c r="H993" s="114">
        <f t="shared" si="84"/>
        <v>100</v>
      </c>
      <c r="I993" s="132"/>
      <c r="J993" s="132"/>
      <c r="K993" s="132"/>
    </row>
    <row r="994" spans="1:11" s="75" customFormat="1" ht="31.5" x14ac:dyDescent="0.25">
      <c r="A994" s="335" t="s">
        <v>88</v>
      </c>
      <c r="B994" s="334" t="s">
        <v>159</v>
      </c>
      <c r="C994" s="334" t="s">
        <v>81</v>
      </c>
      <c r="D994" s="334" t="s">
        <v>340</v>
      </c>
      <c r="E994" s="118" t="s">
        <v>89</v>
      </c>
      <c r="F994" s="337">
        <f t="shared" si="86"/>
        <v>476.08296000000001</v>
      </c>
      <c r="G994" s="337">
        <f t="shared" si="86"/>
        <v>476.08296000000001</v>
      </c>
      <c r="H994" s="114">
        <f t="shared" si="84"/>
        <v>100</v>
      </c>
      <c r="I994" s="132"/>
      <c r="J994" s="132"/>
      <c r="K994" s="132"/>
    </row>
    <row r="995" spans="1:11" s="264" customFormat="1" ht="31.5" customHeight="1" x14ac:dyDescent="0.25">
      <c r="A995" s="335" t="s">
        <v>90</v>
      </c>
      <c r="B995" s="334" t="s">
        <v>159</v>
      </c>
      <c r="C995" s="334" t="s">
        <v>81</v>
      </c>
      <c r="D995" s="334" t="s">
        <v>340</v>
      </c>
      <c r="E995" s="118" t="s">
        <v>91</v>
      </c>
      <c r="F995" s="337">
        <f>'Пр.4 Ведом23'!G534</f>
        <v>476.08296000000001</v>
      </c>
      <c r="G995" s="337">
        <f>'Пр.4 Ведом23'!H534</f>
        <v>476.08296000000001</v>
      </c>
      <c r="H995" s="114">
        <f t="shared" si="84"/>
        <v>100</v>
      </c>
    </row>
    <row r="996" spans="1:11" s="131" customFormat="1" ht="47.25" x14ac:dyDescent="0.25">
      <c r="A996" s="335" t="s">
        <v>274</v>
      </c>
      <c r="B996" s="334" t="s">
        <v>159</v>
      </c>
      <c r="C996" s="334" t="s">
        <v>81</v>
      </c>
      <c r="D996" s="334" t="s">
        <v>374</v>
      </c>
      <c r="E996" s="118"/>
      <c r="F996" s="337">
        <f>F997</f>
        <v>364.35535999999996</v>
      </c>
      <c r="G996" s="337">
        <f>G997</f>
        <v>364.35536000000002</v>
      </c>
      <c r="H996" s="114">
        <f t="shared" si="84"/>
        <v>100.00000000000003</v>
      </c>
      <c r="I996" s="132"/>
      <c r="J996" s="132"/>
      <c r="K996" s="132"/>
    </row>
    <row r="997" spans="1:11" s="131" customFormat="1" ht="31.5" x14ac:dyDescent="0.25">
      <c r="A997" s="335" t="s">
        <v>149</v>
      </c>
      <c r="B997" s="334" t="s">
        <v>159</v>
      </c>
      <c r="C997" s="334" t="s">
        <v>81</v>
      </c>
      <c r="D997" s="334" t="s">
        <v>374</v>
      </c>
      <c r="E997" s="118" t="s">
        <v>150</v>
      </c>
      <c r="F997" s="337">
        <f>F998</f>
        <v>364.35535999999996</v>
      </c>
      <c r="G997" s="337">
        <f>G998</f>
        <v>364.35536000000002</v>
      </c>
      <c r="H997" s="114">
        <f t="shared" si="84"/>
        <v>100.00000000000003</v>
      </c>
      <c r="I997" s="132"/>
      <c r="J997" s="132"/>
      <c r="K997" s="132"/>
    </row>
    <row r="998" spans="1:11" s="264" customFormat="1" ht="15.75" x14ac:dyDescent="0.25">
      <c r="A998" s="335" t="s">
        <v>151</v>
      </c>
      <c r="B998" s="334" t="s">
        <v>159</v>
      </c>
      <c r="C998" s="334" t="s">
        <v>81</v>
      </c>
      <c r="D998" s="334" t="s">
        <v>374</v>
      </c>
      <c r="E998" s="118" t="s">
        <v>152</v>
      </c>
      <c r="F998" s="337">
        <f>'Пр.4 Ведом23'!G537</f>
        <v>364.35535999999996</v>
      </c>
      <c r="G998" s="337">
        <f>'Пр.4 Ведом23'!H537</f>
        <v>364.35536000000002</v>
      </c>
      <c r="H998" s="114">
        <f t="shared" si="84"/>
        <v>100.00000000000003</v>
      </c>
    </row>
    <row r="999" spans="1:11" s="75" customFormat="1" ht="31.5" x14ac:dyDescent="0.25">
      <c r="A999" s="116" t="s">
        <v>164</v>
      </c>
      <c r="B999" s="117" t="s">
        <v>159</v>
      </c>
      <c r="C999" s="117" t="s">
        <v>103</v>
      </c>
      <c r="D999" s="117"/>
      <c r="E999" s="117"/>
      <c r="F999" s="338">
        <f>F1000+F1021+F1039+F1045</f>
        <v>23356.858649999998</v>
      </c>
      <c r="G999" s="338">
        <f>G1000+G1021+G1039+G1045</f>
        <v>23356.858090000002</v>
      </c>
      <c r="H999" s="113">
        <f t="shared" si="84"/>
        <v>99.999997602417324</v>
      </c>
      <c r="I999" s="132"/>
      <c r="J999" s="132"/>
      <c r="K999" s="132"/>
    </row>
    <row r="1000" spans="1:11" s="75" customFormat="1" ht="31.5" x14ac:dyDescent="0.25">
      <c r="A1000" s="116" t="s">
        <v>362</v>
      </c>
      <c r="B1000" s="117" t="s">
        <v>159</v>
      </c>
      <c r="C1000" s="117" t="s">
        <v>103</v>
      </c>
      <c r="D1000" s="117" t="s">
        <v>321</v>
      </c>
      <c r="E1000" s="117"/>
      <c r="F1000" s="338">
        <f>F1001</f>
        <v>10360.039059999999</v>
      </c>
      <c r="G1000" s="338">
        <f>G1001</f>
        <v>10360.039060000001</v>
      </c>
      <c r="H1000" s="113">
        <f t="shared" si="84"/>
        <v>100.00000000000003</v>
      </c>
      <c r="I1000" s="132"/>
      <c r="J1000" s="132"/>
      <c r="K1000" s="132"/>
    </row>
    <row r="1001" spans="1:11" s="75" customFormat="1" ht="15.75" x14ac:dyDescent="0.25">
      <c r="A1001" s="116" t="s">
        <v>363</v>
      </c>
      <c r="B1001" s="117" t="s">
        <v>159</v>
      </c>
      <c r="C1001" s="117" t="s">
        <v>103</v>
      </c>
      <c r="D1001" s="117" t="s">
        <v>322</v>
      </c>
      <c r="E1001" s="117"/>
      <c r="F1001" s="338">
        <f>F1002+F1012+F1009+F1015+F1018</f>
        <v>10360.039059999999</v>
      </c>
      <c r="G1001" s="338">
        <f>G1002+G1012+G1009+G1015+G1018</f>
        <v>10360.039060000001</v>
      </c>
      <c r="H1001" s="113">
        <f t="shared" si="84"/>
        <v>100.00000000000003</v>
      </c>
      <c r="I1001" s="132"/>
      <c r="J1001" s="132"/>
      <c r="K1001" s="132"/>
    </row>
    <row r="1002" spans="1:11" s="75" customFormat="1" ht="31.5" x14ac:dyDescent="0.25">
      <c r="A1002" s="335" t="s">
        <v>346</v>
      </c>
      <c r="B1002" s="334" t="s">
        <v>159</v>
      </c>
      <c r="C1002" s="334" t="s">
        <v>103</v>
      </c>
      <c r="D1002" s="334" t="s">
        <v>323</v>
      </c>
      <c r="E1002" s="334"/>
      <c r="F1002" s="337">
        <f>F1003+F1005+F1007</f>
        <v>10044.556269999999</v>
      </c>
      <c r="G1002" s="337">
        <f>G1003+G1005+G1007</f>
        <v>10044.556270000001</v>
      </c>
      <c r="H1002" s="114">
        <f t="shared" si="84"/>
        <v>100.00000000000003</v>
      </c>
      <c r="I1002" s="132"/>
      <c r="J1002" s="132"/>
      <c r="K1002" s="132"/>
    </row>
    <row r="1003" spans="1:11" s="75" customFormat="1" ht="78.75" x14ac:dyDescent="0.25">
      <c r="A1003" s="335" t="s">
        <v>84</v>
      </c>
      <c r="B1003" s="334" t="s">
        <v>159</v>
      </c>
      <c r="C1003" s="334" t="s">
        <v>103</v>
      </c>
      <c r="D1003" s="334" t="s">
        <v>323</v>
      </c>
      <c r="E1003" s="334" t="s">
        <v>85</v>
      </c>
      <c r="F1003" s="337">
        <f>F1004</f>
        <v>8842.5984999999982</v>
      </c>
      <c r="G1003" s="337">
        <f>G1004</f>
        <v>8842.5985000000001</v>
      </c>
      <c r="H1003" s="114">
        <f t="shared" si="84"/>
        <v>100.00000000000003</v>
      </c>
      <c r="I1003" s="132"/>
      <c r="J1003" s="132"/>
      <c r="K1003" s="132"/>
    </row>
    <row r="1004" spans="1:11" s="75" customFormat="1" ht="31.5" x14ac:dyDescent="0.25">
      <c r="A1004" s="335" t="s">
        <v>86</v>
      </c>
      <c r="B1004" s="334" t="s">
        <v>159</v>
      </c>
      <c r="C1004" s="334" t="s">
        <v>103</v>
      </c>
      <c r="D1004" s="334" t="s">
        <v>323</v>
      </c>
      <c r="E1004" s="334" t="s">
        <v>87</v>
      </c>
      <c r="F1004" s="271">
        <f>'Пр.4 Ведом23'!G543</f>
        <v>8842.5984999999982</v>
      </c>
      <c r="G1004" s="271">
        <f>'Пр.4 Ведом23'!H543</f>
        <v>8842.5985000000001</v>
      </c>
      <c r="H1004" s="114">
        <f t="shared" si="84"/>
        <v>100.00000000000003</v>
      </c>
      <c r="I1004" s="132"/>
      <c r="J1004" s="132"/>
      <c r="K1004" s="132"/>
    </row>
    <row r="1005" spans="1:11" s="131" customFormat="1" ht="31.5" x14ac:dyDescent="0.25">
      <c r="A1005" s="335" t="s">
        <v>88</v>
      </c>
      <c r="B1005" s="334" t="s">
        <v>159</v>
      </c>
      <c r="C1005" s="334" t="s">
        <v>103</v>
      </c>
      <c r="D1005" s="334" t="s">
        <v>323</v>
      </c>
      <c r="E1005" s="334" t="s">
        <v>89</v>
      </c>
      <c r="F1005" s="337">
        <f>F1006</f>
        <v>1188.0357699999997</v>
      </c>
      <c r="G1005" s="337">
        <f>G1006</f>
        <v>1188.03577</v>
      </c>
      <c r="H1005" s="114">
        <f t="shared" si="84"/>
        <v>100.00000000000003</v>
      </c>
      <c r="I1005" s="132"/>
      <c r="J1005" s="132"/>
      <c r="K1005" s="132"/>
    </row>
    <row r="1006" spans="1:11" s="264" customFormat="1" ht="31.5" customHeight="1" x14ac:dyDescent="0.25">
      <c r="A1006" s="335" t="s">
        <v>90</v>
      </c>
      <c r="B1006" s="334" t="s">
        <v>159</v>
      </c>
      <c r="C1006" s="334" t="s">
        <v>103</v>
      </c>
      <c r="D1006" s="334" t="s">
        <v>323</v>
      </c>
      <c r="E1006" s="334" t="s">
        <v>91</v>
      </c>
      <c r="F1006" s="337">
        <f>'Пр.4 Ведом23'!G545</f>
        <v>1188.0357699999997</v>
      </c>
      <c r="G1006" s="337">
        <f>'Пр.4 Ведом23'!H545</f>
        <v>1188.03577</v>
      </c>
      <c r="H1006" s="114">
        <f t="shared" si="84"/>
        <v>100.00000000000003</v>
      </c>
    </row>
    <row r="1007" spans="1:11" s="131" customFormat="1" ht="15.75" x14ac:dyDescent="0.25">
      <c r="A1007" s="335" t="s">
        <v>92</v>
      </c>
      <c r="B1007" s="334" t="s">
        <v>159</v>
      </c>
      <c r="C1007" s="334" t="s">
        <v>103</v>
      </c>
      <c r="D1007" s="334" t="s">
        <v>323</v>
      </c>
      <c r="E1007" s="334" t="s">
        <v>98</v>
      </c>
      <c r="F1007" s="337">
        <f>F1008</f>
        <v>13.922000000000001</v>
      </c>
      <c r="G1007" s="337">
        <f>G1008</f>
        <v>13.922000000000001</v>
      </c>
      <c r="H1007" s="114">
        <f t="shared" si="84"/>
        <v>100</v>
      </c>
      <c r="I1007" s="132"/>
      <c r="J1007" s="132"/>
      <c r="K1007" s="132"/>
    </row>
    <row r="1008" spans="1:11" s="75" customFormat="1" ht="15.75" x14ac:dyDescent="0.25">
      <c r="A1008" s="335" t="s">
        <v>223</v>
      </c>
      <c r="B1008" s="334" t="s">
        <v>159</v>
      </c>
      <c r="C1008" s="334" t="s">
        <v>103</v>
      </c>
      <c r="D1008" s="334" t="s">
        <v>323</v>
      </c>
      <c r="E1008" s="334" t="s">
        <v>94</v>
      </c>
      <c r="F1008" s="337">
        <f>'Пр.4 Ведом23'!G547</f>
        <v>13.922000000000001</v>
      </c>
      <c r="G1008" s="337">
        <f>'Пр.4 Ведом23'!H547</f>
        <v>13.922000000000001</v>
      </c>
      <c r="H1008" s="114">
        <f t="shared" si="84"/>
        <v>100</v>
      </c>
      <c r="I1008" s="132"/>
      <c r="J1008" s="132"/>
      <c r="K1008" s="132"/>
    </row>
    <row r="1009" spans="1:11" s="75" customFormat="1" ht="31.5" x14ac:dyDescent="0.25">
      <c r="A1009" s="335" t="s">
        <v>305</v>
      </c>
      <c r="B1009" s="334" t="s">
        <v>159</v>
      </c>
      <c r="C1009" s="334" t="s">
        <v>103</v>
      </c>
      <c r="D1009" s="334" t="s">
        <v>324</v>
      </c>
      <c r="E1009" s="334"/>
      <c r="F1009" s="337">
        <f>F1010</f>
        <v>236.61482000000009</v>
      </c>
      <c r="G1009" s="337">
        <f>G1010</f>
        <v>236.61482000000001</v>
      </c>
      <c r="H1009" s="114">
        <f t="shared" si="84"/>
        <v>99.999999999999972</v>
      </c>
      <c r="I1009" s="132"/>
      <c r="J1009" s="132"/>
      <c r="K1009" s="132"/>
    </row>
    <row r="1010" spans="1:11" s="75" customFormat="1" ht="78.75" x14ac:dyDescent="0.25">
      <c r="A1010" s="335" t="s">
        <v>84</v>
      </c>
      <c r="B1010" s="334" t="s">
        <v>159</v>
      </c>
      <c r="C1010" s="334" t="s">
        <v>103</v>
      </c>
      <c r="D1010" s="334" t="s">
        <v>324</v>
      </c>
      <c r="E1010" s="334" t="s">
        <v>85</v>
      </c>
      <c r="F1010" s="337">
        <f>F1011</f>
        <v>236.61482000000009</v>
      </c>
      <c r="G1010" s="337">
        <f>G1011</f>
        <v>236.61482000000001</v>
      </c>
      <c r="H1010" s="114">
        <f t="shared" si="84"/>
        <v>99.999999999999972</v>
      </c>
      <c r="I1010" s="132"/>
      <c r="J1010" s="132"/>
      <c r="K1010" s="132"/>
    </row>
    <row r="1011" spans="1:11" s="75" customFormat="1" ht="31.5" x14ac:dyDescent="0.25">
      <c r="A1011" s="335" t="s">
        <v>86</v>
      </c>
      <c r="B1011" s="334" t="s">
        <v>159</v>
      </c>
      <c r="C1011" s="334" t="s">
        <v>103</v>
      </c>
      <c r="D1011" s="334" t="s">
        <v>324</v>
      </c>
      <c r="E1011" s="334" t="s">
        <v>87</v>
      </c>
      <c r="F1011" s="337">
        <f>'Пр.4 Ведом23'!G550</f>
        <v>236.61482000000009</v>
      </c>
      <c r="G1011" s="337">
        <f>'Пр.4 Ведом23'!H550</f>
        <v>236.61482000000001</v>
      </c>
      <c r="H1011" s="114">
        <f t="shared" si="84"/>
        <v>99.999999999999972</v>
      </c>
      <c r="I1011" s="132"/>
      <c r="J1011" s="132"/>
      <c r="K1011" s="132"/>
    </row>
    <row r="1012" spans="1:11" s="131" customFormat="1" ht="47.25" hidden="1" customHeight="1" x14ac:dyDescent="0.25">
      <c r="A1012" s="335" t="s">
        <v>304</v>
      </c>
      <c r="B1012" s="334" t="s">
        <v>159</v>
      </c>
      <c r="C1012" s="334" t="s">
        <v>103</v>
      </c>
      <c r="D1012" s="334" t="s">
        <v>325</v>
      </c>
      <c r="E1012" s="334"/>
      <c r="F1012" s="337">
        <f>F1013</f>
        <v>0</v>
      </c>
      <c r="G1012" s="337">
        <f>G1013</f>
        <v>0</v>
      </c>
      <c r="H1012" s="114" t="e">
        <f t="shared" si="84"/>
        <v>#DIV/0!</v>
      </c>
      <c r="I1012" s="132"/>
      <c r="J1012" s="132"/>
      <c r="K1012" s="132"/>
    </row>
    <row r="1013" spans="1:11" ht="78.75" hidden="1" customHeight="1" x14ac:dyDescent="0.25">
      <c r="A1013" s="335" t="s">
        <v>84</v>
      </c>
      <c r="B1013" s="334" t="s">
        <v>159</v>
      </c>
      <c r="C1013" s="334" t="s">
        <v>103</v>
      </c>
      <c r="D1013" s="334" t="s">
        <v>325</v>
      </c>
      <c r="E1013" s="334" t="s">
        <v>85</v>
      </c>
      <c r="F1013" s="337">
        <f>F1014</f>
        <v>0</v>
      </c>
      <c r="G1013" s="337">
        <f>G1014</f>
        <v>0</v>
      </c>
      <c r="H1013" s="114" t="e">
        <f t="shared" si="84"/>
        <v>#DIV/0!</v>
      </c>
    </row>
    <row r="1014" spans="1:11" s="264" customFormat="1" ht="31.5" hidden="1" customHeight="1" x14ac:dyDescent="0.25">
      <c r="A1014" s="335" t="s">
        <v>86</v>
      </c>
      <c r="B1014" s="334" t="s">
        <v>159</v>
      </c>
      <c r="C1014" s="334" t="s">
        <v>103</v>
      </c>
      <c r="D1014" s="334" t="s">
        <v>325</v>
      </c>
      <c r="E1014" s="334" t="s">
        <v>87</v>
      </c>
      <c r="F1014" s="337">
        <f>'Пр.4 Ведом23'!G553</f>
        <v>0</v>
      </c>
      <c r="G1014" s="337">
        <f>'Пр.4 Ведом23'!H553</f>
        <v>0</v>
      </c>
      <c r="H1014" s="114" t="e">
        <f t="shared" si="84"/>
        <v>#DIV/0!</v>
      </c>
    </row>
    <row r="1015" spans="1:11" s="339" customFormat="1" ht="31.5" x14ac:dyDescent="0.25">
      <c r="A1015" s="335" t="s">
        <v>1085</v>
      </c>
      <c r="B1015" s="334" t="s">
        <v>159</v>
      </c>
      <c r="C1015" s="334" t="s">
        <v>103</v>
      </c>
      <c r="D1015" s="334" t="s">
        <v>1081</v>
      </c>
      <c r="E1015" s="334"/>
      <c r="F1015" s="337">
        <f>F1016</f>
        <v>39.06</v>
      </c>
      <c r="G1015" s="337">
        <f>G1016</f>
        <v>39.06</v>
      </c>
      <c r="H1015" s="114">
        <f t="shared" si="84"/>
        <v>100</v>
      </c>
    </row>
    <row r="1016" spans="1:11" s="339" customFormat="1" ht="78.75" x14ac:dyDescent="0.25">
      <c r="A1016" s="335" t="s">
        <v>84</v>
      </c>
      <c r="B1016" s="334" t="s">
        <v>159</v>
      </c>
      <c r="C1016" s="334" t="s">
        <v>103</v>
      </c>
      <c r="D1016" s="334" t="s">
        <v>1081</v>
      </c>
      <c r="E1016" s="334" t="s">
        <v>85</v>
      </c>
      <c r="F1016" s="337">
        <f>F1017</f>
        <v>39.06</v>
      </c>
      <c r="G1016" s="337">
        <f>G1017</f>
        <v>39.06</v>
      </c>
      <c r="H1016" s="114">
        <f t="shared" si="84"/>
        <v>100</v>
      </c>
    </row>
    <row r="1017" spans="1:11" s="339" customFormat="1" ht="31.5" x14ac:dyDescent="0.25">
      <c r="A1017" s="335" t="s">
        <v>86</v>
      </c>
      <c r="B1017" s="334" t="s">
        <v>159</v>
      </c>
      <c r="C1017" s="334" t="s">
        <v>103</v>
      </c>
      <c r="D1017" s="334" t="s">
        <v>1081</v>
      </c>
      <c r="E1017" s="334" t="s">
        <v>87</v>
      </c>
      <c r="F1017" s="337">
        <f>'Пр.4 Ведом23'!G556</f>
        <v>39.06</v>
      </c>
      <c r="G1017" s="337">
        <f>'Пр.4 Ведом23'!H556</f>
        <v>39.06</v>
      </c>
      <c r="H1017" s="114">
        <f t="shared" si="84"/>
        <v>100</v>
      </c>
    </row>
    <row r="1018" spans="1:11" s="339" customFormat="1" ht="47.25" x14ac:dyDescent="0.25">
      <c r="A1018" s="335" t="s">
        <v>1107</v>
      </c>
      <c r="B1018" s="334" t="s">
        <v>159</v>
      </c>
      <c r="C1018" s="334" t="s">
        <v>103</v>
      </c>
      <c r="D1018" s="334" t="s">
        <v>1106</v>
      </c>
      <c r="E1018" s="334"/>
      <c r="F1018" s="337">
        <f>F1019</f>
        <v>39.807969999999997</v>
      </c>
      <c r="G1018" s="337">
        <f>G1019</f>
        <v>39.807969999999997</v>
      </c>
      <c r="H1018" s="114">
        <f t="shared" si="84"/>
        <v>100</v>
      </c>
    </row>
    <row r="1019" spans="1:11" s="339" customFormat="1" ht="81.75" customHeight="1" x14ac:dyDescent="0.25">
      <c r="A1019" s="335" t="s">
        <v>84</v>
      </c>
      <c r="B1019" s="334" t="s">
        <v>159</v>
      </c>
      <c r="C1019" s="334" t="s">
        <v>103</v>
      </c>
      <c r="D1019" s="334" t="s">
        <v>1106</v>
      </c>
      <c r="E1019" s="334" t="s">
        <v>85</v>
      </c>
      <c r="F1019" s="337">
        <f>F1020</f>
        <v>39.807969999999997</v>
      </c>
      <c r="G1019" s="337">
        <f>G1020</f>
        <v>39.807969999999997</v>
      </c>
      <c r="H1019" s="114">
        <f t="shared" si="84"/>
        <v>100</v>
      </c>
    </row>
    <row r="1020" spans="1:11" s="339" customFormat="1" ht="31.5" x14ac:dyDescent="0.25">
      <c r="A1020" s="335" t="s">
        <v>86</v>
      </c>
      <c r="B1020" s="334" t="s">
        <v>159</v>
      </c>
      <c r="C1020" s="334" t="s">
        <v>103</v>
      </c>
      <c r="D1020" s="334" t="s">
        <v>1106</v>
      </c>
      <c r="E1020" s="334" t="s">
        <v>87</v>
      </c>
      <c r="F1020" s="337">
        <f>'Пр.4 Ведом23'!G559</f>
        <v>39.807969999999997</v>
      </c>
      <c r="G1020" s="337">
        <f>'Пр.4 Ведом23'!H559</f>
        <v>39.807969999999997</v>
      </c>
      <c r="H1020" s="114">
        <f t="shared" si="84"/>
        <v>100</v>
      </c>
    </row>
    <row r="1021" spans="1:11" ht="15.75" x14ac:dyDescent="0.25">
      <c r="A1021" s="116" t="s">
        <v>369</v>
      </c>
      <c r="B1021" s="117" t="s">
        <v>159</v>
      </c>
      <c r="C1021" s="117" t="s">
        <v>103</v>
      </c>
      <c r="D1021" s="117" t="s">
        <v>329</v>
      </c>
      <c r="E1021" s="117"/>
      <c r="F1021" s="338">
        <f>F1022</f>
        <v>12695.904589999998</v>
      </c>
      <c r="G1021" s="338">
        <f>G1022</f>
        <v>12695.904030000002</v>
      </c>
      <c r="H1021" s="113">
        <f t="shared" si="84"/>
        <v>99.999995589128815</v>
      </c>
    </row>
    <row r="1022" spans="1:11" ht="15.75" x14ac:dyDescent="0.25">
      <c r="A1022" s="116" t="s">
        <v>736</v>
      </c>
      <c r="B1022" s="117" t="s">
        <v>159</v>
      </c>
      <c r="C1022" s="117" t="s">
        <v>103</v>
      </c>
      <c r="D1022" s="117" t="s">
        <v>384</v>
      </c>
      <c r="E1022" s="117"/>
      <c r="F1022" s="338">
        <f>F1023+F1026+F1033+F1036</f>
        <v>12695.904589999998</v>
      </c>
      <c r="G1022" s="338">
        <f>G1023+G1026+G1033+G1036</f>
        <v>12695.904030000002</v>
      </c>
      <c r="H1022" s="113">
        <f t="shared" si="84"/>
        <v>99.999995589128815</v>
      </c>
    </row>
    <row r="1023" spans="1:11" ht="47.25" x14ac:dyDescent="0.25">
      <c r="A1023" s="335" t="s">
        <v>304</v>
      </c>
      <c r="B1023" s="334" t="s">
        <v>159</v>
      </c>
      <c r="C1023" s="334" t="s">
        <v>103</v>
      </c>
      <c r="D1023" s="334" t="s">
        <v>387</v>
      </c>
      <c r="E1023" s="334"/>
      <c r="F1023" s="337">
        <f>F1024</f>
        <v>293.286</v>
      </c>
      <c r="G1023" s="337">
        <f>G1024</f>
        <v>293.286</v>
      </c>
      <c r="H1023" s="114">
        <f t="shared" si="84"/>
        <v>100</v>
      </c>
    </row>
    <row r="1024" spans="1:11" s="131" customFormat="1" ht="78.75" x14ac:dyDescent="0.25">
      <c r="A1024" s="335" t="s">
        <v>84</v>
      </c>
      <c r="B1024" s="334" t="s">
        <v>159</v>
      </c>
      <c r="C1024" s="334" t="s">
        <v>103</v>
      </c>
      <c r="D1024" s="334" t="s">
        <v>387</v>
      </c>
      <c r="E1024" s="334" t="s">
        <v>85</v>
      </c>
      <c r="F1024" s="337">
        <f>F1025</f>
        <v>293.286</v>
      </c>
      <c r="G1024" s="337">
        <f>G1025</f>
        <v>293.286</v>
      </c>
      <c r="H1024" s="114">
        <f t="shared" si="84"/>
        <v>100</v>
      </c>
      <c r="I1024" s="132"/>
      <c r="J1024" s="132"/>
      <c r="K1024" s="132"/>
    </row>
    <row r="1025" spans="1:11" s="264" customFormat="1" ht="31.5" x14ac:dyDescent="0.25">
      <c r="A1025" s="335" t="s">
        <v>168</v>
      </c>
      <c r="B1025" s="334" t="s">
        <v>159</v>
      </c>
      <c r="C1025" s="334" t="s">
        <v>103</v>
      </c>
      <c r="D1025" s="334" t="s">
        <v>387</v>
      </c>
      <c r="E1025" s="334" t="s">
        <v>117</v>
      </c>
      <c r="F1025" s="337">
        <f>'Пр.4 Ведом23'!G564</f>
        <v>293.286</v>
      </c>
      <c r="G1025" s="337">
        <f>'Пр.4 Ведом23'!H564</f>
        <v>293.286</v>
      </c>
      <c r="H1025" s="114">
        <f t="shared" si="84"/>
        <v>100</v>
      </c>
    </row>
    <row r="1026" spans="1:11" s="131" customFormat="1" ht="15.75" x14ac:dyDescent="0.25">
      <c r="A1026" s="335" t="s">
        <v>283</v>
      </c>
      <c r="B1026" s="334" t="s">
        <v>159</v>
      </c>
      <c r="C1026" s="334" t="s">
        <v>103</v>
      </c>
      <c r="D1026" s="334" t="s">
        <v>386</v>
      </c>
      <c r="E1026" s="334"/>
      <c r="F1026" s="337">
        <f>F1027+F1029+F1031</f>
        <v>12168.868589999998</v>
      </c>
      <c r="G1026" s="337">
        <f>G1027+G1029+G1031</f>
        <v>12168.868030000001</v>
      </c>
      <c r="H1026" s="114">
        <f t="shared" si="84"/>
        <v>99.999995398093162</v>
      </c>
      <c r="I1026" s="132"/>
      <c r="J1026" s="132"/>
      <c r="K1026" s="132"/>
    </row>
    <row r="1027" spans="1:11" s="131" customFormat="1" ht="78.75" x14ac:dyDescent="0.25">
      <c r="A1027" s="335" t="s">
        <v>84</v>
      </c>
      <c r="B1027" s="334" t="s">
        <v>159</v>
      </c>
      <c r="C1027" s="334" t="s">
        <v>103</v>
      </c>
      <c r="D1027" s="334" t="s">
        <v>386</v>
      </c>
      <c r="E1027" s="334" t="s">
        <v>85</v>
      </c>
      <c r="F1027" s="337">
        <f>F1028</f>
        <v>11628.807999999999</v>
      </c>
      <c r="G1027" s="337">
        <f>G1028</f>
        <v>11628.808000000001</v>
      </c>
      <c r="H1027" s="114">
        <f t="shared" si="84"/>
        <v>100.00000000000003</v>
      </c>
      <c r="I1027" s="132"/>
      <c r="J1027" s="132"/>
      <c r="K1027" s="132"/>
    </row>
    <row r="1028" spans="1:11" ht="31.5" x14ac:dyDescent="0.25">
      <c r="A1028" s="335" t="s">
        <v>168</v>
      </c>
      <c r="B1028" s="334" t="s">
        <v>159</v>
      </c>
      <c r="C1028" s="334" t="s">
        <v>103</v>
      </c>
      <c r="D1028" s="334" t="s">
        <v>386</v>
      </c>
      <c r="E1028" s="334" t="s">
        <v>117</v>
      </c>
      <c r="F1028" s="271">
        <f>'Пр.4 Ведом23'!G567</f>
        <v>11628.807999999999</v>
      </c>
      <c r="G1028" s="271">
        <f>'Пр.4 Ведом23'!H567</f>
        <v>11628.808000000001</v>
      </c>
      <c r="H1028" s="114">
        <f t="shared" si="84"/>
        <v>100.00000000000003</v>
      </c>
    </row>
    <row r="1029" spans="1:11" ht="31.5" x14ac:dyDescent="0.25">
      <c r="A1029" s="335" t="s">
        <v>88</v>
      </c>
      <c r="B1029" s="334" t="s">
        <v>159</v>
      </c>
      <c r="C1029" s="334" t="s">
        <v>103</v>
      </c>
      <c r="D1029" s="334" t="s">
        <v>386</v>
      </c>
      <c r="E1029" s="334" t="s">
        <v>89</v>
      </c>
      <c r="F1029" s="337">
        <f>F1030</f>
        <v>540.06058999999993</v>
      </c>
      <c r="G1029" s="337">
        <f>G1030</f>
        <v>540.06002999999998</v>
      </c>
      <c r="H1029" s="114">
        <f t="shared" si="84"/>
        <v>99.999896307930939</v>
      </c>
    </row>
    <row r="1030" spans="1:11" ht="31.5" customHeight="1" x14ac:dyDescent="0.25">
      <c r="A1030" s="335" t="s">
        <v>90</v>
      </c>
      <c r="B1030" s="334" t="s">
        <v>159</v>
      </c>
      <c r="C1030" s="334" t="s">
        <v>103</v>
      </c>
      <c r="D1030" s="334" t="s">
        <v>386</v>
      </c>
      <c r="E1030" s="334" t="s">
        <v>91</v>
      </c>
      <c r="F1030" s="271">
        <f>'Пр.4 Ведом23'!G569</f>
        <v>540.06058999999993</v>
      </c>
      <c r="G1030" s="271">
        <f>'Пр.4 Ведом23'!H569</f>
        <v>540.06002999999998</v>
      </c>
      <c r="H1030" s="114">
        <f t="shared" si="84"/>
        <v>99.999896307930939</v>
      </c>
    </row>
    <row r="1031" spans="1:11" ht="15.75" hidden="1" customHeight="1" x14ac:dyDescent="0.25">
      <c r="A1031" s="335" t="s">
        <v>92</v>
      </c>
      <c r="B1031" s="334" t="s">
        <v>159</v>
      </c>
      <c r="C1031" s="334" t="s">
        <v>103</v>
      </c>
      <c r="D1031" s="334" t="s">
        <v>386</v>
      </c>
      <c r="E1031" s="334" t="s">
        <v>98</v>
      </c>
      <c r="F1031" s="337">
        <f>F1032</f>
        <v>0</v>
      </c>
      <c r="G1031" s="337">
        <f>G1032</f>
        <v>0</v>
      </c>
      <c r="H1031" s="114" t="e">
        <f t="shared" si="84"/>
        <v>#DIV/0!</v>
      </c>
    </row>
    <row r="1032" spans="1:11" ht="15.75" hidden="1" customHeight="1" x14ac:dyDescent="0.25">
      <c r="A1032" s="335" t="s">
        <v>223</v>
      </c>
      <c r="B1032" s="334" t="s">
        <v>159</v>
      </c>
      <c r="C1032" s="334" t="s">
        <v>103</v>
      </c>
      <c r="D1032" s="334" t="s">
        <v>386</v>
      </c>
      <c r="E1032" s="334" t="s">
        <v>94</v>
      </c>
      <c r="F1032" s="337">
        <f>'Пр.4 Ведом23'!G571</f>
        <v>0</v>
      </c>
      <c r="G1032" s="337">
        <f>'Пр.4 Ведом23'!H571</f>
        <v>0</v>
      </c>
      <c r="H1032" s="114" t="e">
        <f t="shared" si="84"/>
        <v>#DIV/0!</v>
      </c>
    </row>
    <row r="1033" spans="1:11" s="332" customFormat="1" ht="31.5" x14ac:dyDescent="0.25">
      <c r="A1033" s="335" t="s">
        <v>1085</v>
      </c>
      <c r="B1033" s="334" t="s">
        <v>159</v>
      </c>
      <c r="C1033" s="334" t="s">
        <v>103</v>
      </c>
      <c r="D1033" s="334" t="s">
        <v>1083</v>
      </c>
      <c r="E1033" s="334"/>
      <c r="F1033" s="337">
        <f>F1034</f>
        <v>39.06</v>
      </c>
      <c r="G1033" s="337">
        <f>G1034</f>
        <v>39.06</v>
      </c>
      <c r="H1033" s="114">
        <f t="shared" si="84"/>
        <v>100</v>
      </c>
      <c r="I1033" s="333"/>
      <c r="J1033" s="333"/>
      <c r="K1033" s="333"/>
    </row>
    <row r="1034" spans="1:11" s="332" customFormat="1" ht="78.75" x14ac:dyDescent="0.25">
      <c r="A1034" s="335" t="s">
        <v>84</v>
      </c>
      <c r="B1034" s="334" t="s">
        <v>159</v>
      </c>
      <c r="C1034" s="334" t="s">
        <v>103</v>
      </c>
      <c r="D1034" s="334" t="s">
        <v>1083</v>
      </c>
      <c r="E1034" s="334" t="s">
        <v>85</v>
      </c>
      <c r="F1034" s="337">
        <f>F1035</f>
        <v>39.06</v>
      </c>
      <c r="G1034" s="337">
        <f>G1035</f>
        <v>39.06</v>
      </c>
      <c r="H1034" s="114">
        <f t="shared" si="84"/>
        <v>100</v>
      </c>
      <c r="I1034" s="333"/>
      <c r="J1034" s="333"/>
      <c r="K1034" s="333"/>
    </row>
    <row r="1035" spans="1:11" s="332" customFormat="1" ht="31.5" x14ac:dyDescent="0.25">
      <c r="A1035" s="335" t="s">
        <v>168</v>
      </c>
      <c r="B1035" s="334" t="s">
        <v>159</v>
      </c>
      <c r="C1035" s="334" t="s">
        <v>103</v>
      </c>
      <c r="D1035" s="334" t="s">
        <v>1083</v>
      </c>
      <c r="E1035" s="334" t="s">
        <v>117</v>
      </c>
      <c r="F1035" s="337">
        <f>'Пр.4 Ведом23'!G574</f>
        <v>39.06</v>
      </c>
      <c r="G1035" s="337">
        <f>'Пр.4 Ведом23'!H574</f>
        <v>39.06</v>
      </c>
      <c r="H1035" s="114">
        <f t="shared" ref="H1035:H1098" si="87">G1035/F1035*100</f>
        <v>100</v>
      </c>
      <c r="I1035" s="333"/>
      <c r="J1035" s="333"/>
      <c r="K1035" s="333"/>
    </row>
    <row r="1036" spans="1:11" s="332" customFormat="1" ht="31.5" x14ac:dyDescent="0.25">
      <c r="A1036" s="335" t="s">
        <v>1118</v>
      </c>
      <c r="B1036" s="334" t="s">
        <v>159</v>
      </c>
      <c r="C1036" s="334" t="s">
        <v>103</v>
      </c>
      <c r="D1036" s="334" t="s">
        <v>1119</v>
      </c>
      <c r="E1036" s="334"/>
      <c r="F1036" s="337">
        <f>F1037</f>
        <v>194.69</v>
      </c>
      <c r="G1036" s="337">
        <f>G1037</f>
        <v>194.69</v>
      </c>
      <c r="H1036" s="114">
        <f t="shared" si="87"/>
        <v>100</v>
      </c>
      <c r="I1036" s="333"/>
      <c r="J1036" s="333"/>
      <c r="K1036" s="333"/>
    </row>
    <row r="1037" spans="1:11" s="332" customFormat="1" ht="89.25" customHeight="1" x14ac:dyDescent="0.25">
      <c r="A1037" s="335" t="s">
        <v>84</v>
      </c>
      <c r="B1037" s="334" t="s">
        <v>159</v>
      </c>
      <c r="C1037" s="334" t="s">
        <v>103</v>
      </c>
      <c r="D1037" s="334" t="s">
        <v>1119</v>
      </c>
      <c r="E1037" s="334" t="s">
        <v>85</v>
      </c>
      <c r="F1037" s="337">
        <f>F1038</f>
        <v>194.69</v>
      </c>
      <c r="G1037" s="337">
        <f>G1038</f>
        <v>194.69</v>
      </c>
      <c r="H1037" s="114">
        <f t="shared" si="87"/>
        <v>100</v>
      </c>
      <c r="I1037" s="333"/>
      <c r="J1037" s="333"/>
      <c r="K1037" s="333"/>
    </row>
    <row r="1038" spans="1:11" s="332" customFormat="1" ht="31.5" x14ac:dyDescent="0.25">
      <c r="A1038" s="335" t="s">
        <v>168</v>
      </c>
      <c r="B1038" s="334" t="s">
        <v>159</v>
      </c>
      <c r="C1038" s="334" t="s">
        <v>103</v>
      </c>
      <c r="D1038" s="334" t="s">
        <v>1119</v>
      </c>
      <c r="E1038" s="334" t="s">
        <v>117</v>
      </c>
      <c r="F1038" s="337">
        <f>'Пр.4 Ведом23'!G577</f>
        <v>194.69</v>
      </c>
      <c r="G1038" s="337">
        <f>'Пр.4 Ведом23'!H577</f>
        <v>194.69</v>
      </c>
      <c r="H1038" s="114">
        <f t="shared" si="87"/>
        <v>100</v>
      </c>
      <c r="I1038" s="333"/>
      <c r="J1038" s="333"/>
      <c r="K1038" s="333"/>
    </row>
    <row r="1039" spans="1:11" ht="47.25" x14ac:dyDescent="0.25">
      <c r="A1039" s="116" t="s">
        <v>882</v>
      </c>
      <c r="B1039" s="117" t="s">
        <v>159</v>
      </c>
      <c r="C1039" s="117" t="s">
        <v>103</v>
      </c>
      <c r="D1039" s="117" t="s">
        <v>169</v>
      </c>
      <c r="E1039" s="117"/>
      <c r="F1039" s="338">
        <f t="shared" ref="F1039:G1043" si="88">F1040</f>
        <v>296.91499999999996</v>
      </c>
      <c r="G1039" s="338">
        <f t="shared" si="88"/>
        <v>296.91500000000002</v>
      </c>
      <c r="H1039" s="113">
        <f t="shared" si="87"/>
        <v>100.00000000000003</v>
      </c>
    </row>
    <row r="1040" spans="1:11" ht="47.25" x14ac:dyDescent="0.25">
      <c r="A1040" s="116" t="s">
        <v>906</v>
      </c>
      <c r="B1040" s="117" t="s">
        <v>159</v>
      </c>
      <c r="C1040" s="117" t="s">
        <v>103</v>
      </c>
      <c r="D1040" s="117" t="s">
        <v>178</v>
      </c>
      <c r="E1040" s="117"/>
      <c r="F1040" s="338">
        <f t="shared" si="88"/>
        <v>296.91499999999996</v>
      </c>
      <c r="G1040" s="338">
        <f t="shared" si="88"/>
        <v>296.91500000000002</v>
      </c>
      <c r="H1040" s="113">
        <f t="shared" si="87"/>
        <v>100.00000000000003</v>
      </c>
    </row>
    <row r="1041" spans="1:11" ht="31.5" x14ac:dyDescent="0.25">
      <c r="A1041" s="116" t="s">
        <v>426</v>
      </c>
      <c r="B1041" s="117" t="s">
        <v>159</v>
      </c>
      <c r="C1041" s="117" t="s">
        <v>103</v>
      </c>
      <c r="D1041" s="117" t="s">
        <v>573</v>
      </c>
      <c r="E1041" s="117"/>
      <c r="F1041" s="338">
        <f t="shared" si="88"/>
        <v>296.91499999999996</v>
      </c>
      <c r="G1041" s="338">
        <f t="shared" si="88"/>
        <v>296.91500000000002</v>
      </c>
      <c r="H1041" s="113">
        <f t="shared" si="87"/>
        <v>100.00000000000003</v>
      </c>
    </row>
    <row r="1042" spans="1:11" s="131" customFormat="1" ht="31.5" x14ac:dyDescent="0.25">
      <c r="A1042" s="335" t="s">
        <v>425</v>
      </c>
      <c r="B1042" s="334" t="s">
        <v>159</v>
      </c>
      <c r="C1042" s="334" t="s">
        <v>103</v>
      </c>
      <c r="D1042" s="334" t="s">
        <v>574</v>
      </c>
      <c r="E1042" s="334"/>
      <c r="F1042" s="337">
        <f t="shared" si="88"/>
        <v>296.91499999999996</v>
      </c>
      <c r="G1042" s="337">
        <f t="shared" si="88"/>
        <v>296.91500000000002</v>
      </c>
      <c r="H1042" s="114">
        <f t="shared" si="87"/>
        <v>100.00000000000003</v>
      </c>
      <c r="I1042" s="132"/>
      <c r="J1042" s="132"/>
      <c r="K1042" s="132"/>
    </row>
    <row r="1043" spans="1:11" s="131" customFormat="1" ht="31.5" x14ac:dyDescent="0.25">
      <c r="A1043" s="335" t="s">
        <v>88</v>
      </c>
      <c r="B1043" s="334" t="s">
        <v>159</v>
      </c>
      <c r="C1043" s="334" t="s">
        <v>103</v>
      </c>
      <c r="D1043" s="334" t="s">
        <v>574</v>
      </c>
      <c r="E1043" s="334" t="s">
        <v>89</v>
      </c>
      <c r="F1043" s="337">
        <f t="shared" si="88"/>
        <v>296.91499999999996</v>
      </c>
      <c r="G1043" s="337">
        <f t="shared" si="88"/>
        <v>296.91500000000002</v>
      </c>
      <c r="H1043" s="114">
        <f t="shared" si="87"/>
        <v>100.00000000000003</v>
      </c>
      <c r="I1043" s="132"/>
      <c r="J1043" s="132"/>
      <c r="K1043" s="132"/>
    </row>
    <row r="1044" spans="1:11" s="131" customFormat="1" ht="31.5" customHeight="1" x14ac:dyDescent="0.25">
      <c r="A1044" s="335" t="s">
        <v>90</v>
      </c>
      <c r="B1044" s="334" t="s">
        <v>159</v>
      </c>
      <c r="C1044" s="334" t="s">
        <v>103</v>
      </c>
      <c r="D1044" s="334" t="s">
        <v>574</v>
      </c>
      <c r="E1044" s="334" t="s">
        <v>91</v>
      </c>
      <c r="F1044" s="337">
        <f>'Пр.4 Ведом23'!G583</f>
        <v>296.91499999999996</v>
      </c>
      <c r="G1044" s="337">
        <f>'Пр.4 Ведом23'!H583</f>
        <v>296.91500000000002</v>
      </c>
      <c r="H1044" s="114">
        <f t="shared" si="87"/>
        <v>100.00000000000003</v>
      </c>
      <c r="I1044" s="132"/>
      <c r="J1044" s="132"/>
      <c r="K1044" s="132"/>
    </row>
    <row r="1045" spans="1:11" s="131" customFormat="1" ht="47.25" x14ac:dyDescent="0.25">
      <c r="A1045" s="22" t="s">
        <v>894</v>
      </c>
      <c r="B1045" s="117" t="s">
        <v>159</v>
      </c>
      <c r="C1045" s="117" t="s">
        <v>103</v>
      </c>
      <c r="D1045" s="117" t="s">
        <v>162</v>
      </c>
      <c r="E1045" s="117"/>
      <c r="F1045" s="338">
        <f>F1047</f>
        <v>4</v>
      </c>
      <c r="G1045" s="338">
        <f>G1047</f>
        <v>4</v>
      </c>
      <c r="H1045" s="113">
        <f t="shared" si="87"/>
        <v>100</v>
      </c>
      <c r="I1045" s="132"/>
      <c r="J1045" s="132"/>
      <c r="K1045" s="132"/>
    </row>
    <row r="1046" spans="1:11" s="131" customFormat="1" ht="63" x14ac:dyDescent="0.25">
      <c r="A1046" s="22" t="s">
        <v>452</v>
      </c>
      <c r="B1046" s="117" t="s">
        <v>159</v>
      </c>
      <c r="C1046" s="117" t="s">
        <v>103</v>
      </c>
      <c r="D1046" s="117" t="s">
        <v>372</v>
      </c>
      <c r="E1046" s="117"/>
      <c r="F1046" s="338">
        <f>F1049</f>
        <v>4</v>
      </c>
      <c r="G1046" s="338">
        <f>G1049</f>
        <v>4</v>
      </c>
      <c r="H1046" s="113">
        <f t="shared" si="87"/>
        <v>100</v>
      </c>
      <c r="I1046" s="132"/>
      <c r="J1046" s="132"/>
      <c r="K1046" s="132"/>
    </row>
    <row r="1047" spans="1:11" s="131" customFormat="1" ht="47.25" x14ac:dyDescent="0.25">
      <c r="A1047" s="20" t="s">
        <v>493</v>
      </c>
      <c r="B1047" s="334" t="s">
        <v>159</v>
      </c>
      <c r="C1047" s="334" t="s">
        <v>103</v>
      </c>
      <c r="D1047" s="334" t="s">
        <v>453</v>
      </c>
      <c r="E1047" s="334"/>
      <c r="F1047" s="337">
        <f>F1048</f>
        <v>4</v>
      </c>
      <c r="G1047" s="337">
        <f>G1048</f>
        <v>4</v>
      </c>
      <c r="H1047" s="114">
        <f t="shared" si="87"/>
        <v>100</v>
      </c>
      <c r="I1047" s="132"/>
      <c r="J1047" s="132"/>
      <c r="K1047" s="132"/>
    </row>
    <row r="1048" spans="1:11" s="131" customFormat="1" ht="31.5" x14ac:dyDescent="0.25">
      <c r="A1048" s="335" t="s">
        <v>88</v>
      </c>
      <c r="B1048" s="334" t="s">
        <v>159</v>
      </c>
      <c r="C1048" s="334" t="s">
        <v>103</v>
      </c>
      <c r="D1048" s="334" t="s">
        <v>453</v>
      </c>
      <c r="E1048" s="334" t="s">
        <v>89</v>
      </c>
      <c r="F1048" s="337">
        <f>F1049</f>
        <v>4</v>
      </c>
      <c r="G1048" s="337">
        <f>G1049</f>
        <v>4</v>
      </c>
      <c r="H1048" s="114">
        <f t="shared" si="87"/>
        <v>100</v>
      </c>
      <c r="I1048" s="132"/>
      <c r="J1048" s="132"/>
      <c r="K1048" s="132"/>
    </row>
    <row r="1049" spans="1:11" s="131" customFormat="1" ht="31.5" customHeight="1" x14ac:dyDescent="0.25">
      <c r="A1049" s="335" t="s">
        <v>90</v>
      </c>
      <c r="B1049" s="334" t="s">
        <v>159</v>
      </c>
      <c r="C1049" s="334" t="s">
        <v>103</v>
      </c>
      <c r="D1049" s="334" t="s">
        <v>453</v>
      </c>
      <c r="E1049" s="334" t="s">
        <v>91</v>
      </c>
      <c r="F1049" s="337">
        <f>'Пр.4 Ведом23'!G588</f>
        <v>4</v>
      </c>
      <c r="G1049" s="337">
        <f>'Пр.4 Ведом23'!H588</f>
        <v>4</v>
      </c>
      <c r="H1049" s="114">
        <f t="shared" si="87"/>
        <v>100</v>
      </c>
      <c r="I1049" s="132"/>
      <c r="J1049" s="132"/>
      <c r="K1049" s="132"/>
    </row>
    <row r="1050" spans="1:11" s="131" customFormat="1" ht="15.75" x14ac:dyDescent="0.25">
      <c r="A1050" s="116" t="s">
        <v>133</v>
      </c>
      <c r="B1050" s="117" t="s">
        <v>134</v>
      </c>
      <c r="C1050" s="117"/>
      <c r="D1050" s="117"/>
      <c r="E1050" s="117"/>
      <c r="F1050" s="338">
        <f>F1051+F1057+F1081+F1088</f>
        <v>23116.069869999999</v>
      </c>
      <c r="G1050" s="338">
        <f>G1051+G1057+G1081+G1088</f>
        <v>22472.09618</v>
      </c>
      <c r="H1050" s="113">
        <f t="shared" si="87"/>
        <v>97.214173111512579</v>
      </c>
      <c r="I1050" s="132"/>
      <c r="J1050" s="132"/>
      <c r="K1050" s="132"/>
    </row>
    <row r="1051" spans="1:11" ht="15.75" x14ac:dyDescent="0.25">
      <c r="A1051" s="116" t="s">
        <v>135</v>
      </c>
      <c r="B1051" s="117" t="s">
        <v>134</v>
      </c>
      <c r="C1051" s="117" t="s">
        <v>81</v>
      </c>
      <c r="D1051" s="117"/>
      <c r="E1051" s="117"/>
      <c r="F1051" s="338">
        <f t="shared" ref="F1051:G1055" si="89">F1052</f>
        <v>13526.847899999999</v>
      </c>
      <c r="G1051" s="338">
        <f t="shared" si="89"/>
        <v>13526.847900000001</v>
      </c>
      <c r="H1051" s="113">
        <f t="shared" si="87"/>
        <v>100.00000000000003</v>
      </c>
    </row>
    <row r="1052" spans="1:11" ht="15.75" x14ac:dyDescent="0.25">
      <c r="A1052" s="116" t="s">
        <v>97</v>
      </c>
      <c r="B1052" s="117" t="s">
        <v>134</v>
      </c>
      <c r="C1052" s="117" t="s">
        <v>81</v>
      </c>
      <c r="D1052" s="117" t="s">
        <v>329</v>
      </c>
      <c r="E1052" s="117"/>
      <c r="F1052" s="338">
        <f t="shared" si="89"/>
        <v>13526.847899999999</v>
      </c>
      <c r="G1052" s="338">
        <f t="shared" si="89"/>
        <v>13526.847900000001</v>
      </c>
      <c r="H1052" s="113">
        <f t="shared" si="87"/>
        <v>100.00000000000003</v>
      </c>
    </row>
    <row r="1053" spans="1:11" ht="31.5" x14ac:dyDescent="0.25">
      <c r="A1053" s="116" t="s">
        <v>330</v>
      </c>
      <c r="B1053" s="117" t="s">
        <v>134</v>
      </c>
      <c r="C1053" s="117" t="s">
        <v>81</v>
      </c>
      <c r="D1053" s="117" t="s">
        <v>328</v>
      </c>
      <c r="E1053" s="117"/>
      <c r="F1053" s="338">
        <f t="shared" si="89"/>
        <v>13526.847899999999</v>
      </c>
      <c r="G1053" s="338">
        <f t="shared" si="89"/>
        <v>13526.847900000001</v>
      </c>
      <c r="H1053" s="113">
        <f t="shared" si="87"/>
        <v>100.00000000000003</v>
      </c>
    </row>
    <row r="1054" spans="1:11" ht="15.75" x14ac:dyDescent="0.25">
      <c r="A1054" s="335" t="s">
        <v>136</v>
      </c>
      <c r="B1054" s="334" t="s">
        <v>134</v>
      </c>
      <c r="C1054" s="334" t="s">
        <v>81</v>
      </c>
      <c r="D1054" s="334" t="s">
        <v>337</v>
      </c>
      <c r="E1054" s="334"/>
      <c r="F1054" s="337">
        <f t="shared" si="89"/>
        <v>13526.847899999999</v>
      </c>
      <c r="G1054" s="337">
        <f t="shared" si="89"/>
        <v>13526.847900000001</v>
      </c>
      <c r="H1054" s="114">
        <f t="shared" si="87"/>
        <v>100.00000000000003</v>
      </c>
    </row>
    <row r="1055" spans="1:11" s="131" customFormat="1" ht="31.5" x14ac:dyDescent="0.25">
      <c r="A1055" s="335" t="s">
        <v>137</v>
      </c>
      <c r="B1055" s="334" t="s">
        <v>134</v>
      </c>
      <c r="C1055" s="334" t="s">
        <v>81</v>
      </c>
      <c r="D1055" s="334" t="s">
        <v>337</v>
      </c>
      <c r="E1055" s="334" t="s">
        <v>138</v>
      </c>
      <c r="F1055" s="337">
        <f t="shared" si="89"/>
        <v>13526.847899999999</v>
      </c>
      <c r="G1055" s="337">
        <f t="shared" si="89"/>
        <v>13526.847900000001</v>
      </c>
      <c r="H1055" s="114">
        <f t="shared" si="87"/>
        <v>100.00000000000003</v>
      </c>
      <c r="I1055" s="132"/>
      <c r="J1055" s="132"/>
      <c r="K1055" s="132"/>
    </row>
    <row r="1056" spans="1:11" s="131" customFormat="1" ht="31.5" x14ac:dyDescent="0.25">
      <c r="A1056" s="335" t="s">
        <v>172</v>
      </c>
      <c r="B1056" s="334" t="s">
        <v>134</v>
      </c>
      <c r="C1056" s="334" t="s">
        <v>81</v>
      </c>
      <c r="D1056" s="334" t="s">
        <v>337</v>
      </c>
      <c r="E1056" s="334" t="s">
        <v>173</v>
      </c>
      <c r="F1056" s="271">
        <f>'Пр.4 Ведом23'!G271</f>
        <v>13526.847899999999</v>
      </c>
      <c r="G1056" s="271">
        <f>'Пр.4 Ведом23'!H271</f>
        <v>13526.847900000001</v>
      </c>
      <c r="H1056" s="114">
        <f t="shared" si="87"/>
        <v>100.00000000000003</v>
      </c>
      <c r="I1056" s="132"/>
      <c r="J1056" s="132"/>
      <c r="K1056" s="132"/>
    </row>
    <row r="1057" spans="1:11" s="131" customFormat="1" ht="15.75" x14ac:dyDescent="0.25">
      <c r="A1057" s="116" t="s">
        <v>141</v>
      </c>
      <c r="B1057" s="117" t="s">
        <v>134</v>
      </c>
      <c r="C1057" s="117" t="s">
        <v>120</v>
      </c>
      <c r="D1057" s="117"/>
      <c r="E1057" s="117"/>
      <c r="F1057" s="338">
        <f>F1058</f>
        <v>1335.5183099999999</v>
      </c>
      <c r="G1057" s="338">
        <f>G1058</f>
        <v>1335.51731</v>
      </c>
      <c r="H1057" s="113">
        <f t="shared" si="87"/>
        <v>99.999925122703857</v>
      </c>
      <c r="I1057" s="132"/>
      <c r="J1057" s="132"/>
      <c r="K1057" s="132"/>
    </row>
    <row r="1058" spans="1:11" s="131" customFormat="1" ht="47.25" x14ac:dyDescent="0.25">
      <c r="A1058" s="116" t="s">
        <v>882</v>
      </c>
      <c r="B1058" s="117" t="s">
        <v>134</v>
      </c>
      <c r="C1058" s="117" t="s">
        <v>120</v>
      </c>
      <c r="D1058" s="117" t="s">
        <v>169</v>
      </c>
      <c r="E1058" s="117"/>
      <c r="F1058" s="338">
        <f>F1059+F1064</f>
        <v>1335.5183099999999</v>
      </c>
      <c r="G1058" s="338">
        <f>G1059+G1064</f>
        <v>1335.51731</v>
      </c>
      <c r="H1058" s="113">
        <f t="shared" si="87"/>
        <v>99.999925122703857</v>
      </c>
      <c r="I1058" s="214"/>
      <c r="J1058" s="214"/>
      <c r="K1058" s="214"/>
    </row>
    <row r="1059" spans="1:11" s="131" customFormat="1" ht="31.5" x14ac:dyDescent="0.25">
      <c r="A1059" s="116" t="s">
        <v>174</v>
      </c>
      <c r="B1059" s="117" t="s">
        <v>134</v>
      </c>
      <c r="C1059" s="117" t="s">
        <v>120</v>
      </c>
      <c r="D1059" s="117" t="s">
        <v>175</v>
      </c>
      <c r="E1059" s="117"/>
      <c r="F1059" s="338">
        <f t="shared" ref="F1059:G1062" si="90">F1060</f>
        <v>169.05099999999999</v>
      </c>
      <c r="G1059" s="338">
        <f t="shared" si="90"/>
        <v>169.05</v>
      </c>
      <c r="H1059" s="113">
        <f t="shared" si="87"/>
        <v>99.999408462534987</v>
      </c>
      <c r="I1059" s="214"/>
      <c r="J1059" s="214"/>
      <c r="K1059" s="214"/>
    </row>
    <row r="1060" spans="1:11" s="131" customFormat="1" ht="31.5" x14ac:dyDescent="0.25">
      <c r="A1060" s="116" t="s">
        <v>353</v>
      </c>
      <c r="B1060" s="117" t="s">
        <v>134</v>
      </c>
      <c r="C1060" s="117" t="s">
        <v>120</v>
      </c>
      <c r="D1060" s="117" t="s">
        <v>352</v>
      </c>
      <c r="E1060" s="117"/>
      <c r="F1060" s="338">
        <f t="shared" si="90"/>
        <v>169.05099999999999</v>
      </c>
      <c r="G1060" s="338">
        <f t="shared" si="90"/>
        <v>169.05</v>
      </c>
      <c r="H1060" s="113">
        <f t="shared" si="87"/>
        <v>99.999408462534987</v>
      </c>
      <c r="I1060" s="214"/>
      <c r="J1060" s="214"/>
      <c r="K1060" s="214"/>
    </row>
    <row r="1061" spans="1:11" s="131" customFormat="1" ht="31.5" x14ac:dyDescent="0.25">
      <c r="A1061" s="335" t="s">
        <v>297</v>
      </c>
      <c r="B1061" s="334" t="s">
        <v>134</v>
      </c>
      <c r="C1061" s="334" t="s">
        <v>120</v>
      </c>
      <c r="D1061" s="334" t="s">
        <v>354</v>
      </c>
      <c r="E1061" s="334"/>
      <c r="F1061" s="337">
        <f t="shared" si="90"/>
        <v>169.05099999999999</v>
      </c>
      <c r="G1061" s="337">
        <f t="shared" si="90"/>
        <v>169.05</v>
      </c>
      <c r="H1061" s="114">
        <f t="shared" si="87"/>
        <v>99.999408462534987</v>
      </c>
      <c r="I1061" s="214"/>
      <c r="J1061" s="214"/>
      <c r="K1061" s="214"/>
    </row>
    <row r="1062" spans="1:11" s="131" customFormat="1" ht="31.5" x14ac:dyDescent="0.25">
      <c r="A1062" s="335" t="s">
        <v>137</v>
      </c>
      <c r="B1062" s="334" t="s">
        <v>134</v>
      </c>
      <c r="C1062" s="334" t="s">
        <v>120</v>
      </c>
      <c r="D1062" s="334" t="s">
        <v>354</v>
      </c>
      <c r="E1062" s="334" t="s">
        <v>138</v>
      </c>
      <c r="F1062" s="337">
        <f t="shared" si="90"/>
        <v>169.05099999999999</v>
      </c>
      <c r="G1062" s="337">
        <f t="shared" si="90"/>
        <v>169.05</v>
      </c>
      <c r="H1062" s="114">
        <f t="shared" si="87"/>
        <v>99.999408462534987</v>
      </c>
      <c r="I1062" s="214"/>
      <c r="J1062" s="214"/>
      <c r="K1062" s="214"/>
    </row>
    <row r="1063" spans="1:11" s="131" customFormat="1" ht="31.5" x14ac:dyDescent="0.25">
      <c r="A1063" s="335" t="s">
        <v>139</v>
      </c>
      <c r="B1063" s="334" t="s">
        <v>134</v>
      </c>
      <c r="C1063" s="334" t="s">
        <v>120</v>
      </c>
      <c r="D1063" s="334" t="s">
        <v>354</v>
      </c>
      <c r="E1063" s="334" t="s">
        <v>140</v>
      </c>
      <c r="F1063" s="337">
        <f>'Пр.4 Ведом23'!G596</f>
        <v>169.05099999999999</v>
      </c>
      <c r="G1063" s="337">
        <f>'Пр.4 Ведом23'!H596</f>
        <v>169.05</v>
      </c>
      <c r="H1063" s="114">
        <f t="shared" si="87"/>
        <v>99.999408462534987</v>
      </c>
      <c r="I1063" s="214"/>
      <c r="J1063" s="214"/>
      <c r="K1063" s="214"/>
    </row>
    <row r="1064" spans="1:11" s="131" customFormat="1" ht="47.25" x14ac:dyDescent="0.25">
      <c r="A1064" s="116" t="s">
        <v>884</v>
      </c>
      <c r="B1064" s="115">
        <v>10</v>
      </c>
      <c r="C1064" s="117" t="s">
        <v>120</v>
      </c>
      <c r="D1064" s="117" t="s">
        <v>178</v>
      </c>
      <c r="E1064" s="117"/>
      <c r="F1064" s="338">
        <f>F1065+F1071+F1077</f>
        <v>1166.46731</v>
      </c>
      <c r="G1064" s="338">
        <f>G1065+G1071+G1077</f>
        <v>1166.46731</v>
      </c>
      <c r="H1064" s="113">
        <f t="shared" si="87"/>
        <v>100</v>
      </c>
      <c r="I1064" s="214"/>
      <c r="J1064" s="214"/>
      <c r="K1064" s="214"/>
    </row>
    <row r="1065" spans="1:11" s="131" customFormat="1" ht="31.5" x14ac:dyDescent="0.25">
      <c r="A1065" s="116" t="s">
        <v>463</v>
      </c>
      <c r="B1065" s="117" t="s">
        <v>134</v>
      </c>
      <c r="C1065" s="117" t="s">
        <v>120</v>
      </c>
      <c r="D1065" s="117" t="s">
        <v>361</v>
      </c>
      <c r="E1065" s="117"/>
      <c r="F1065" s="338">
        <f>F1066</f>
        <v>691.46731</v>
      </c>
      <c r="G1065" s="338">
        <f>G1066</f>
        <v>691.46731</v>
      </c>
      <c r="H1065" s="113">
        <f t="shared" si="87"/>
        <v>100</v>
      </c>
      <c r="I1065" s="214"/>
      <c r="J1065" s="214"/>
      <c r="K1065" s="214"/>
    </row>
    <row r="1066" spans="1:11" s="131" customFormat="1" ht="47.25" x14ac:dyDescent="0.25">
      <c r="A1066" s="26" t="s">
        <v>464</v>
      </c>
      <c r="B1066" s="334" t="s">
        <v>134</v>
      </c>
      <c r="C1066" s="334" t="s">
        <v>120</v>
      </c>
      <c r="D1066" s="334" t="s">
        <v>576</v>
      </c>
      <c r="E1066" s="334"/>
      <c r="F1066" s="337">
        <f>F1069+F1068</f>
        <v>691.46731</v>
      </c>
      <c r="G1066" s="337">
        <f>G1069+G1068</f>
        <v>691.46731</v>
      </c>
      <c r="H1066" s="114">
        <f t="shared" si="87"/>
        <v>100</v>
      </c>
      <c r="I1066" s="214"/>
      <c r="J1066" s="214"/>
      <c r="K1066" s="214"/>
    </row>
    <row r="1067" spans="1:11" s="131" customFormat="1" ht="31.5" x14ac:dyDescent="0.25">
      <c r="A1067" s="335" t="s">
        <v>88</v>
      </c>
      <c r="B1067" s="334" t="s">
        <v>134</v>
      </c>
      <c r="C1067" s="334" t="s">
        <v>120</v>
      </c>
      <c r="D1067" s="334" t="s">
        <v>576</v>
      </c>
      <c r="E1067" s="334" t="s">
        <v>89</v>
      </c>
      <c r="F1067" s="337">
        <f>F1068</f>
        <v>134.86731</v>
      </c>
      <c r="G1067" s="337">
        <f>G1068</f>
        <v>134.86731</v>
      </c>
      <c r="H1067" s="114">
        <f t="shared" si="87"/>
        <v>100</v>
      </c>
      <c r="I1067" s="214"/>
      <c r="J1067" s="214"/>
      <c r="K1067" s="214"/>
    </row>
    <row r="1068" spans="1:11" s="131" customFormat="1" ht="31.5" customHeight="1" x14ac:dyDescent="0.25">
      <c r="A1068" s="335" t="s">
        <v>90</v>
      </c>
      <c r="B1068" s="334" t="s">
        <v>134</v>
      </c>
      <c r="C1068" s="334" t="s">
        <v>120</v>
      </c>
      <c r="D1068" s="334" t="s">
        <v>576</v>
      </c>
      <c r="E1068" s="334" t="s">
        <v>91</v>
      </c>
      <c r="F1068" s="337">
        <f>'Пр.4 Ведом23'!G601</f>
        <v>134.86731</v>
      </c>
      <c r="G1068" s="337">
        <f>'Пр.4 Ведом23'!H601</f>
        <v>134.86731</v>
      </c>
      <c r="H1068" s="114">
        <f t="shared" si="87"/>
        <v>100</v>
      </c>
      <c r="I1068" s="214"/>
      <c r="J1068" s="214"/>
      <c r="K1068" s="214"/>
    </row>
    <row r="1069" spans="1:11" s="131" customFormat="1" ht="31.5" x14ac:dyDescent="0.25">
      <c r="A1069" s="335" t="s">
        <v>137</v>
      </c>
      <c r="B1069" s="334" t="s">
        <v>134</v>
      </c>
      <c r="C1069" s="334" t="s">
        <v>120</v>
      </c>
      <c r="D1069" s="334" t="s">
        <v>576</v>
      </c>
      <c r="E1069" s="334" t="s">
        <v>138</v>
      </c>
      <c r="F1069" s="337">
        <f>F1070</f>
        <v>556.6</v>
      </c>
      <c r="G1069" s="337">
        <f>G1070</f>
        <v>556.6</v>
      </c>
      <c r="H1069" s="114">
        <f t="shared" si="87"/>
        <v>100</v>
      </c>
      <c r="I1069" s="214"/>
      <c r="J1069" s="214"/>
      <c r="K1069" s="214"/>
    </row>
    <row r="1070" spans="1:11" s="131" customFormat="1" ht="31.5" x14ac:dyDescent="0.25">
      <c r="A1070" s="335" t="s">
        <v>172</v>
      </c>
      <c r="B1070" s="334" t="s">
        <v>134</v>
      </c>
      <c r="C1070" s="334" t="s">
        <v>120</v>
      </c>
      <c r="D1070" s="334" t="s">
        <v>576</v>
      </c>
      <c r="E1070" s="334" t="s">
        <v>173</v>
      </c>
      <c r="F1070" s="337">
        <f>'Пр.4 Ведом23'!G603</f>
        <v>556.6</v>
      </c>
      <c r="G1070" s="337">
        <f>'Пр.4 Ведом23'!H603</f>
        <v>556.6</v>
      </c>
      <c r="H1070" s="114">
        <f t="shared" si="87"/>
        <v>100</v>
      </c>
      <c r="I1070" s="214"/>
      <c r="J1070" s="214"/>
      <c r="K1070" s="214"/>
    </row>
    <row r="1071" spans="1:11" s="131" customFormat="1" ht="31.5" x14ac:dyDescent="0.25">
      <c r="A1071" s="116" t="s">
        <v>580</v>
      </c>
      <c r="B1071" s="115">
        <v>10</v>
      </c>
      <c r="C1071" s="117" t="s">
        <v>120</v>
      </c>
      <c r="D1071" s="117" t="s">
        <v>578</v>
      </c>
      <c r="E1071" s="117"/>
      <c r="F1071" s="338">
        <f>F1072</f>
        <v>155</v>
      </c>
      <c r="G1071" s="338">
        <f>G1072</f>
        <v>155</v>
      </c>
      <c r="H1071" s="113">
        <f t="shared" si="87"/>
        <v>100</v>
      </c>
      <c r="I1071" s="214"/>
      <c r="J1071" s="214"/>
      <c r="K1071" s="214"/>
    </row>
    <row r="1072" spans="1:11" s="131" customFormat="1" ht="31.5" x14ac:dyDescent="0.25">
      <c r="A1072" s="335" t="s">
        <v>577</v>
      </c>
      <c r="B1072" s="334" t="s">
        <v>134</v>
      </c>
      <c r="C1072" s="334" t="s">
        <v>120</v>
      </c>
      <c r="D1072" s="334" t="s">
        <v>579</v>
      </c>
      <c r="E1072" s="334"/>
      <c r="F1072" s="337">
        <f>F1074+F1076</f>
        <v>155</v>
      </c>
      <c r="G1072" s="337">
        <f>G1074+G1076</f>
        <v>155</v>
      </c>
      <c r="H1072" s="114">
        <f t="shared" si="87"/>
        <v>100</v>
      </c>
      <c r="I1072" s="214"/>
      <c r="J1072" s="214"/>
      <c r="K1072" s="214"/>
    </row>
    <row r="1073" spans="1:11" s="131" customFormat="1" ht="31.5" hidden="1" customHeight="1" x14ac:dyDescent="0.25">
      <c r="A1073" s="335" t="s">
        <v>88</v>
      </c>
      <c r="B1073" s="334" t="s">
        <v>134</v>
      </c>
      <c r="C1073" s="334" t="s">
        <v>120</v>
      </c>
      <c r="D1073" s="334" t="s">
        <v>579</v>
      </c>
      <c r="E1073" s="334" t="s">
        <v>89</v>
      </c>
      <c r="F1073" s="337">
        <f>F1074</f>
        <v>0</v>
      </c>
      <c r="G1073" s="337">
        <f>G1074</f>
        <v>0</v>
      </c>
      <c r="H1073" s="114" t="e">
        <f t="shared" si="87"/>
        <v>#DIV/0!</v>
      </c>
      <c r="I1073" s="214"/>
      <c r="J1073" s="214"/>
      <c r="K1073" s="214"/>
    </row>
    <row r="1074" spans="1:11" s="131" customFormat="1" ht="31.5" hidden="1" customHeight="1" x14ac:dyDescent="0.25">
      <c r="A1074" s="335" t="s">
        <v>90</v>
      </c>
      <c r="B1074" s="334" t="s">
        <v>134</v>
      </c>
      <c r="C1074" s="334" t="s">
        <v>120</v>
      </c>
      <c r="D1074" s="334" t="s">
        <v>579</v>
      </c>
      <c r="E1074" s="334" t="s">
        <v>91</v>
      </c>
      <c r="F1074" s="337">
        <f>'Пр.4 Ведом23'!G607</f>
        <v>0</v>
      </c>
      <c r="G1074" s="337">
        <f>'Пр.4 Ведом23'!H607</f>
        <v>0</v>
      </c>
      <c r="H1074" s="114" t="e">
        <f t="shared" si="87"/>
        <v>#DIV/0!</v>
      </c>
      <c r="I1074" s="132"/>
      <c r="J1074" s="132"/>
      <c r="K1074" s="132"/>
    </row>
    <row r="1075" spans="1:11" s="131" customFormat="1" ht="31.5" x14ac:dyDescent="0.25">
      <c r="A1075" s="335" t="s">
        <v>137</v>
      </c>
      <c r="B1075" s="334" t="s">
        <v>134</v>
      </c>
      <c r="C1075" s="334" t="s">
        <v>120</v>
      </c>
      <c r="D1075" s="334" t="s">
        <v>579</v>
      </c>
      <c r="E1075" s="334" t="s">
        <v>138</v>
      </c>
      <c r="F1075" s="337">
        <f>F1076</f>
        <v>155</v>
      </c>
      <c r="G1075" s="337">
        <f>G1076</f>
        <v>155</v>
      </c>
      <c r="H1075" s="114">
        <f t="shared" si="87"/>
        <v>100</v>
      </c>
      <c r="I1075" s="132"/>
      <c r="J1075" s="132"/>
      <c r="K1075" s="132"/>
    </row>
    <row r="1076" spans="1:11" s="131" customFormat="1" ht="31.5" x14ac:dyDescent="0.25">
      <c r="A1076" s="335" t="s">
        <v>172</v>
      </c>
      <c r="B1076" s="334" t="s">
        <v>134</v>
      </c>
      <c r="C1076" s="334" t="s">
        <v>120</v>
      </c>
      <c r="D1076" s="334" t="s">
        <v>579</v>
      </c>
      <c r="E1076" s="334" t="s">
        <v>173</v>
      </c>
      <c r="F1076" s="337">
        <f>'Пр.4 Ведом23'!G609</f>
        <v>155</v>
      </c>
      <c r="G1076" s="337">
        <f>'Пр.4 Ведом23'!H609</f>
        <v>155</v>
      </c>
      <c r="H1076" s="114">
        <f t="shared" si="87"/>
        <v>100</v>
      </c>
      <c r="I1076" s="132"/>
      <c r="J1076" s="132"/>
      <c r="K1076" s="132"/>
    </row>
    <row r="1077" spans="1:11" s="131" customFormat="1" ht="31.5" x14ac:dyDescent="0.25">
      <c r="A1077" s="116" t="s">
        <v>426</v>
      </c>
      <c r="B1077" s="115">
        <v>10</v>
      </c>
      <c r="C1077" s="117" t="s">
        <v>120</v>
      </c>
      <c r="D1077" s="117" t="s">
        <v>573</v>
      </c>
      <c r="E1077" s="117"/>
      <c r="F1077" s="338">
        <f t="shared" ref="F1077:G1079" si="91">F1078</f>
        <v>320</v>
      </c>
      <c r="G1077" s="338">
        <f t="shared" si="91"/>
        <v>320</v>
      </c>
      <c r="H1077" s="113">
        <f t="shared" si="87"/>
        <v>100</v>
      </c>
      <c r="I1077" s="132"/>
      <c r="J1077" s="132"/>
      <c r="K1077" s="132"/>
    </row>
    <row r="1078" spans="1:11" s="131" customFormat="1" ht="15.75" x14ac:dyDescent="0.25">
      <c r="A1078" s="335" t="s">
        <v>461</v>
      </c>
      <c r="B1078" s="334" t="s">
        <v>134</v>
      </c>
      <c r="C1078" s="334" t="s">
        <v>120</v>
      </c>
      <c r="D1078" s="334" t="s">
        <v>575</v>
      </c>
      <c r="E1078" s="334"/>
      <c r="F1078" s="337">
        <f t="shared" si="91"/>
        <v>320</v>
      </c>
      <c r="G1078" s="337">
        <f t="shared" si="91"/>
        <v>320</v>
      </c>
      <c r="H1078" s="114">
        <f t="shared" si="87"/>
        <v>100</v>
      </c>
      <c r="I1078" s="132"/>
      <c r="J1078" s="132"/>
      <c r="K1078" s="132"/>
    </row>
    <row r="1079" spans="1:11" s="131" customFormat="1" ht="31.5" x14ac:dyDescent="0.25">
      <c r="A1079" s="335" t="s">
        <v>137</v>
      </c>
      <c r="B1079" s="334" t="s">
        <v>134</v>
      </c>
      <c r="C1079" s="334" t="s">
        <v>120</v>
      </c>
      <c r="D1079" s="334" t="s">
        <v>575</v>
      </c>
      <c r="E1079" s="334" t="s">
        <v>138</v>
      </c>
      <c r="F1079" s="337">
        <f t="shared" si="91"/>
        <v>320</v>
      </c>
      <c r="G1079" s="337">
        <f t="shared" si="91"/>
        <v>320</v>
      </c>
      <c r="H1079" s="114">
        <f t="shared" si="87"/>
        <v>100</v>
      </c>
      <c r="I1079" s="132"/>
      <c r="J1079" s="132"/>
      <c r="K1079" s="132"/>
    </row>
    <row r="1080" spans="1:11" s="131" customFormat="1" ht="31.5" x14ac:dyDescent="0.25">
      <c r="A1080" s="335" t="s">
        <v>172</v>
      </c>
      <c r="B1080" s="334" t="s">
        <v>134</v>
      </c>
      <c r="C1080" s="334" t="s">
        <v>120</v>
      </c>
      <c r="D1080" s="334" t="s">
        <v>575</v>
      </c>
      <c r="E1080" s="334" t="s">
        <v>173</v>
      </c>
      <c r="F1080" s="337">
        <f>'Пр.4 Ведом23'!G613</f>
        <v>320</v>
      </c>
      <c r="G1080" s="337">
        <f>'Пр.4 Ведом23'!H613</f>
        <v>320</v>
      </c>
      <c r="H1080" s="114">
        <f t="shared" si="87"/>
        <v>100</v>
      </c>
      <c r="I1080" s="132"/>
      <c r="J1080" s="132"/>
      <c r="K1080" s="132"/>
    </row>
    <row r="1081" spans="1:11" s="131" customFormat="1" ht="15.75" x14ac:dyDescent="0.25">
      <c r="A1081" s="116" t="s">
        <v>187</v>
      </c>
      <c r="B1081" s="117" t="s">
        <v>134</v>
      </c>
      <c r="C1081" s="117" t="s">
        <v>103</v>
      </c>
      <c r="D1081" s="117"/>
      <c r="E1081" s="117"/>
      <c r="F1081" s="338">
        <f>F1082</f>
        <v>16.600000000000001</v>
      </c>
      <c r="G1081" s="338">
        <f>G1082</f>
        <v>11.48157</v>
      </c>
      <c r="H1081" s="113">
        <f t="shared" si="87"/>
        <v>69.166084337349389</v>
      </c>
      <c r="I1081" s="132"/>
      <c r="J1081" s="132"/>
      <c r="K1081" s="132"/>
    </row>
    <row r="1082" spans="1:11" ht="31.5" x14ac:dyDescent="0.25">
      <c r="A1082" s="116" t="s">
        <v>338</v>
      </c>
      <c r="B1082" s="117" t="s">
        <v>134</v>
      </c>
      <c r="C1082" s="117" t="s">
        <v>103</v>
      </c>
      <c r="D1082" s="117" t="s">
        <v>326</v>
      </c>
      <c r="E1082" s="117"/>
      <c r="F1082" s="338">
        <f t="shared" ref="F1082:G1084" si="92">F1083</f>
        <v>16.600000000000001</v>
      </c>
      <c r="G1082" s="338">
        <f t="shared" si="92"/>
        <v>11.48157</v>
      </c>
      <c r="H1082" s="113">
        <f t="shared" si="87"/>
        <v>69.166084337349389</v>
      </c>
    </row>
    <row r="1083" spans="1:11" s="112" customFormat="1" ht="94.5" x14ac:dyDescent="0.25">
      <c r="A1083" s="20" t="s">
        <v>550</v>
      </c>
      <c r="B1083" s="334" t="s">
        <v>134</v>
      </c>
      <c r="C1083" s="334" t="s">
        <v>103</v>
      </c>
      <c r="D1083" s="334" t="s">
        <v>549</v>
      </c>
      <c r="E1083" s="334"/>
      <c r="F1083" s="337">
        <f>F1084+F1086</f>
        <v>16.600000000000001</v>
      </c>
      <c r="G1083" s="337">
        <f>G1084+G1086</f>
        <v>11.48157</v>
      </c>
      <c r="H1083" s="114">
        <f t="shared" si="87"/>
        <v>69.166084337349389</v>
      </c>
      <c r="I1083" s="132"/>
      <c r="J1083" s="132"/>
      <c r="K1083" s="132"/>
    </row>
    <row r="1084" spans="1:11" s="112" customFormat="1" ht="78.75" hidden="1" customHeight="1" x14ac:dyDescent="0.25">
      <c r="A1084" s="335" t="s">
        <v>84</v>
      </c>
      <c r="B1084" s="334" t="s">
        <v>134</v>
      </c>
      <c r="C1084" s="334" t="s">
        <v>103</v>
      </c>
      <c r="D1084" s="334" t="s">
        <v>549</v>
      </c>
      <c r="E1084" s="334" t="s">
        <v>85</v>
      </c>
      <c r="F1084" s="337">
        <f t="shared" si="92"/>
        <v>0</v>
      </c>
      <c r="G1084" s="337">
        <f t="shared" si="92"/>
        <v>0</v>
      </c>
      <c r="H1084" s="114" t="e">
        <f t="shared" si="87"/>
        <v>#DIV/0!</v>
      </c>
      <c r="I1084" s="132"/>
      <c r="J1084" s="132"/>
      <c r="K1084" s="132"/>
    </row>
    <row r="1085" spans="1:11" s="112" customFormat="1" ht="31.5" hidden="1" customHeight="1" x14ac:dyDescent="0.25">
      <c r="A1085" s="335" t="s">
        <v>86</v>
      </c>
      <c r="B1085" s="334" t="s">
        <v>134</v>
      </c>
      <c r="C1085" s="334" t="s">
        <v>103</v>
      </c>
      <c r="D1085" s="334" t="s">
        <v>549</v>
      </c>
      <c r="E1085" s="334" t="s">
        <v>87</v>
      </c>
      <c r="F1085" s="337">
        <f>'Пр.4 Ведом23'!G706</f>
        <v>0</v>
      </c>
      <c r="G1085" s="337">
        <f>'Пр.4 Ведом23'!H706</f>
        <v>0</v>
      </c>
      <c r="H1085" s="114" t="e">
        <f t="shared" si="87"/>
        <v>#DIV/0!</v>
      </c>
      <c r="I1085" s="132"/>
      <c r="J1085" s="132"/>
      <c r="K1085" s="132"/>
    </row>
    <row r="1086" spans="1:11" ht="31.5" x14ac:dyDescent="0.25">
      <c r="A1086" s="335" t="s">
        <v>88</v>
      </c>
      <c r="B1086" s="334" t="s">
        <v>134</v>
      </c>
      <c r="C1086" s="334" t="s">
        <v>103</v>
      </c>
      <c r="D1086" s="334" t="s">
        <v>549</v>
      </c>
      <c r="E1086" s="334" t="s">
        <v>89</v>
      </c>
      <c r="F1086" s="337">
        <f>F1087</f>
        <v>16.600000000000001</v>
      </c>
      <c r="G1086" s="337">
        <f>G1087</f>
        <v>11.48157</v>
      </c>
      <c r="H1086" s="114">
        <f t="shared" si="87"/>
        <v>69.166084337349389</v>
      </c>
    </row>
    <row r="1087" spans="1:11" s="112" customFormat="1" ht="31.5" customHeight="1" x14ac:dyDescent="0.25">
      <c r="A1087" s="335" t="s">
        <v>90</v>
      </c>
      <c r="B1087" s="334" t="s">
        <v>134</v>
      </c>
      <c r="C1087" s="334" t="s">
        <v>103</v>
      </c>
      <c r="D1087" s="334" t="s">
        <v>549</v>
      </c>
      <c r="E1087" s="334" t="s">
        <v>91</v>
      </c>
      <c r="F1087" s="337">
        <f>'Пр.4 Ведом23'!G708</f>
        <v>16.600000000000001</v>
      </c>
      <c r="G1087" s="337">
        <f>'Пр.4 Ведом23'!H708</f>
        <v>11.48157</v>
      </c>
      <c r="H1087" s="114">
        <f t="shared" si="87"/>
        <v>69.166084337349389</v>
      </c>
      <c r="I1087" s="132"/>
      <c r="J1087" s="132"/>
      <c r="K1087" s="132"/>
    </row>
    <row r="1088" spans="1:11" ht="15.75" x14ac:dyDescent="0.25">
      <c r="A1088" s="116" t="s">
        <v>142</v>
      </c>
      <c r="B1088" s="117" t="s">
        <v>134</v>
      </c>
      <c r="C1088" s="117" t="s">
        <v>83</v>
      </c>
      <c r="D1088" s="117"/>
      <c r="E1088" s="117"/>
      <c r="F1088" s="338">
        <f>F1089+F1101+F1107</f>
        <v>8237.1036599999989</v>
      </c>
      <c r="G1088" s="338">
        <f>G1089+G1101+G1107</f>
        <v>7598.2493999999997</v>
      </c>
      <c r="H1088" s="113">
        <f t="shared" si="87"/>
        <v>92.244188171355376</v>
      </c>
    </row>
    <row r="1089" spans="1:12" ht="31.5" x14ac:dyDescent="0.25">
      <c r="A1089" s="116" t="s">
        <v>362</v>
      </c>
      <c r="B1089" s="117" t="s">
        <v>134</v>
      </c>
      <c r="C1089" s="117" t="s">
        <v>83</v>
      </c>
      <c r="D1089" s="117" t="s">
        <v>321</v>
      </c>
      <c r="E1089" s="117"/>
      <c r="F1089" s="338">
        <f t="shared" ref="F1089:G1089" si="93">F1090</f>
        <v>7167.5762299999988</v>
      </c>
      <c r="G1089" s="338">
        <f t="shared" si="93"/>
        <v>6556.4103999999998</v>
      </c>
      <c r="H1089" s="113">
        <f t="shared" si="87"/>
        <v>91.473186885101342</v>
      </c>
    </row>
    <row r="1090" spans="1:12" ht="31.5" x14ac:dyDescent="0.25">
      <c r="A1090" s="116" t="s">
        <v>338</v>
      </c>
      <c r="B1090" s="117" t="s">
        <v>134</v>
      </c>
      <c r="C1090" s="117" t="s">
        <v>83</v>
      </c>
      <c r="D1090" s="117" t="s">
        <v>326</v>
      </c>
      <c r="E1090" s="117"/>
      <c r="F1090" s="338">
        <f>F1091+F1096</f>
        <v>7167.5762299999988</v>
      </c>
      <c r="G1090" s="338">
        <f>G1091+G1096</f>
        <v>6556.4103999999998</v>
      </c>
      <c r="H1090" s="113">
        <f t="shared" si="87"/>
        <v>91.473186885101342</v>
      </c>
    </row>
    <row r="1091" spans="1:12" ht="47.25" x14ac:dyDescent="0.25">
      <c r="A1091" s="20" t="s">
        <v>143</v>
      </c>
      <c r="B1091" s="334" t="s">
        <v>134</v>
      </c>
      <c r="C1091" s="334" t="s">
        <v>83</v>
      </c>
      <c r="D1091" s="334" t="s">
        <v>368</v>
      </c>
      <c r="E1091" s="334"/>
      <c r="F1091" s="337">
        <f>F1092+F1094</f>
        <v>7124.0557999999992</v>
      </c>
      <c r="G1091" s="337">
        <f>G1092+G1094</f>
        <v>6512.8899700000002</v>
      </c>
      <c r="H1091" s="114">
        <f t="shared" si="87"/>
        <v>91.42109709471957</v>
      </c>
    </row>
    <row r="1092" spans="1:12" ht="78.75" x14ac:dyDescent="0.25">
      <c r="A1092" s="335" t="s">
        <v>84</v>
      </c>
      <c r="B1092" s="334" t="s">
        <v>134</v>
      </c>
      <c r="C1092" s="334" t="s">
        <v>83</v>
      </c>
      <c r="D1092" s="334" t="s">
        <v>368</v>
      </c>
      <c r="E1092" s="334" t="s">
        <v>85</v>
      </c>
      <c r="F1092" s="337">
        <f>F1093</f>
        <v>6557.7689999999993</v>
      </c>
      <c r="G1092" s="337">
        <f>G1093</f>
        <v>5948.8659699999998</v>
      </c>
      <c r="H1092" s="114">
        <f t="shared" si="87"/>
        <v>90.714783793085729</v>
      </c>
      <c r="K1092" s="84"/>
      <c r="L1092" s="86"/>
    </row>
    <row r="1093" spans="1:12" ht="31.5" x14ac:dyDescent="0.25">
      <c r="A1093" s="335" t="s">
        <v>86</v>
      </c>
      <c r="B1093" s="334" t="s">
        <v>134</v>
      </c>
      <c r="C1093" s="334" t="s">
        <v>83</v>
      </c>
      <c r="D1093" s="334" t="s">
        <v>368</v>
      </c>
      <c r="E1093" s="334" t="s">
        <v>87</v>
      </c>
      <c r="F1093" s="271">
        <f>'Пр.4 Ведом23'!G277</f>
        <v>6557.7689999999993</v>
      </c>
      <c r="G1093" s="271">
        <f>'Пр.4 Ведом23'!H277</f>
        <v>5948.8659699999998</v>
      </c>
      <c r="H1093" s="114">
        <f t="shared" si="87"/>
        <v>90.714783793085729</v>
      </c>
      <c r="I1093" s="58"/>
      <c r="J1093" s="58"/>
    </row>
    <row r="1094" spans="1:12" ht="31.5" x14ac:dyDescent="0.25">
      <c r="A1094" s="335" t="s">
        <v>88</v>
      </c>
      <c r="B1094" s="334" t="s">
        <v>134</v>
      </c>
      <c r="C1094" s="334" t="s">
        <v>83</v>
      </c>
      <c r="D1094" s="334" t="s">
        <v>368</v>
      </c>
      <c r="E1094" s="334" t="s">
        <v>89</v>
      </c>
      <c r="F1094" s="337">
        <f>F1095</f>
        <v>566.28679999999986</v>
      </c>
      <c r="G1094" s="337">
        <f>G1095</f>
        <v>564.024</v>
      </c>
      <c r="H1094" s="114">
        <f t="shared" si="87"/>
        <v>99.60041448961907</v>
      </c>
    </row>
    <row r="1095" spans="1:12" ht="31.5" customHeight="1" x14ac:dyDescent="0.25">
      <c r="A1095" s="335" t="s">
        <v>90</v>
      </c>
      <c r="B1095" s="334" t="s">
        <v>134</v>
      </c>
      <c r="C1095" s="334" t="s">
        <v>83</v>
      </c>
      <c r="D1095" s="334" t="s">
        <v>368</v>
      </c>
      <c r="E1095" s="334" t="s">
        <v>91</v>
      </c>
      <c r="F1095" s="271">
        <f>'Пр.4 Ведом23'!G279</f>
        <v>566.28679999999986</v>
      </c>
      <c r="G1095" s="271">
        <f>'Пр.4 Ведом23'!H279</f>
        <v>564.024</v>
      </c>
      <c r="H1095" s="114">
        <f t="shared" si="87"/>
        <v>99.60041448961907</v>
      </c>
    </row>
    <row r="1096" spans="1:12" s="131" customFormat="1" ht="94.5" x14ac:dyDescent="0.25">
      <c r="A1096" s="20" t="s">
        <v>550</v>
      </c>
      <c r="B1096" s="334" t="s">
        <v>134</v>
      </c>
      <c r="C1096" s="334" t="s">
        <v>83</v>
      </c>
      <c r="D1096" s="334" t="s">
        <v>549</v>
      </c>
      <c r="E1096" s="334"/>
      <c r="F1096" s="271">
        <f>F1097+F1099</f>
        <v>43.520429999999998</v>
      </c>
      <c r="G1096" s="271">
        <f>G1097+G1099</f>
        <v>43.520429999999998</v>
      </c>
      <c r="H1096" s="114">
        <f t="shared" si="87"/>
        <v>100</v>
      </c>
      <c r="I1096" s="214"/>
      <c r="J1096" s="214"/>
      <c r="K1096" s="214"/>
    </row>
    <row r="1097" spans="1:12" s="131" customFormat="1" ht="78.75" x14ac:dyDescent="0.25">
      <c r="A1097" s="335" t="s">
        <v>84</v>
      </c>
      <c r="B1097" s="334" t="s">
        <v>134</v>
      </c>
      <c r="C1097" s="334" t="s">
        <v>83</v>
      </c>
      <c r="D1097" s="334" t="s">
        <v>549</v>
      </c>
      <c r="E1097" s="334" t="s">
        <v>85</v>
      </c>
      <c r="F1097" s="271">
        <f>F1098</f>
        <v>40.620429999999999</v>
      </c>
      <c r="G1097" s="271">
        <f>G1098</f>
        <v>40.620429999999999</v>
      </c>
      <c r="H1097" s="114">
        <f t="shared" si="87"/>
        <v>100</v>
      </c>
      <c r="I1097" s="214"/>
      <c r="J1097" s="214"/>
      <c r="K1097" s="214"/>
    </row>
    <row r="1098" spans="1:12" s="131" customFormat="1" ht="31.5" x14ac:dyDescent="0.25">
      <c r="A1098" s="335" t="s">
        <v>86</v>
      </c>
      <c r="B1098" s="334" t="s">
        <v>134</v>
      </c>
      <c r="C1098" s="334" t="s">
        <v>83</v>
      </c>
      <c r="D1098" s="334" t="s">
        <v>549</v>
      </c>
      <c r="E1098" s="334" t="s">
        <v>87</v>
      </c>
      <c r="F1098" s="271">
        <f>'Пр.4 Ведом23'!G282</f>
        <v>40.620429999999999</v>
      </c>
      <c r="G1098" s="271">
        <f>'Пр.4 Ведом23'!H282</f>
        <v>40.620429999999999</v>
      </c>
      <c r="H1098" s="114">
        <f t="shared" si="87"/>
        <v>100</v>
      </c>
      <c r="I1098" s="214"/>
      <c r="J1098" s="214"/>
      <c r="K1098" s="214"/>
    </row>
    <row r="1099" spans="1:12" s="131" customFormat="1" ht="31.5" x14ac:dyDescent="0.25">
      <c r="A1099" s="335" t="s">
        <v>88</v>
      </c>
      <c r="B1099" s="334" t="s">
        <v>134</v>
      </c>
      <c r="C1099" s="334" t="s">
        <v>83</v>
      </c>
      <c r="D1099" s="334" t="s">
        <v>549</v>
      </c>
      <c r="E1099" s="334" t="s">
        <v>89</v>
      </c>
      <c r="F1099" s="271">
        <f>F1100</f>
        <v>2.9</v>
      </c>
      <c r="G1099" s="271">
        <f>G1100</f>
        <v>2.9</v>
      </c>
      <c r="H1099" s="114">
        <f t="shared" ref="H1099:H1162" si="94">G1099/F1099*100</f>
        <v>100</v>
      </c>
      <c r="I1099" s="214"/>
      <c r="J1099" s="214"/>
      <c r="K1099" s="214"/>
    </row>
    <row r="1100" spans="1:12" s="131" customFormat="1" ht="31.5" customHeight="1" x14ac:dyDescent="0.25">
      <c r="A1100" s="335" t="s">
        <v>90</v>
      </c>
      <c r="B1100" s="334" t="s">
        <v>134</v>
      </c>
      <c r="C1100" s="334" t="s">
        <v>83</v>
      </c>
      <c r="D1100" s="334" t="s">
        <v>549</v>
      </c>
      <c r="E1100" s="334" t="s">
        <v>91</v>
      </c>
      <c r="F1100" s="271">
        <f>'Пр.4 Ведом23'!G284</f>
        <v>2.9</v>
      </c>
      <c r="G1100" s="271">
        <f>'Пр.4 Ведом23'!H284</f>
        <v>2.9</v>
      </c>
      <c r="H1100" s="114">
        <f t="shared" si="94"/>
        <v>100</v>
      </c>
      <c r="I1100" s="214"/>
      <c r="J1100" s="214"/>
      <c r="K1100" s="214"/>
    </row>
    <row r="1101" spans="1:12" s="131" customFormat="1" ht="15.75" hidden="1" customHeight="1" x14ac:dyDescent="0.25">
      <c r="A1101" s="116" t="s">
        <v>97</v>
      </c>
      <c r="B1101" s="117" t="s">
        <v>134</v>
      </c>
      <c r="C1101" s="117" t="s">
        <v>83</v>
      </c>
      <c r="D1101" s="117" t="s">
        <v>329</v>
      </c>
      <c r="E1101" s="117"/>
      <c r="F1101" s="338">
        <f t="shared" ref="F1101:G1105" si="95">F1102</f>
        <v>0</v>
      </c>
      <c r="G1101" s="338">
        <f t="shared" si="95"/>
        <v>0</v>
      </c>
      <c r="H1101" s="114" t="e">
        <f t="shared" si="94"/>
        <v>#DIV/0!</v>
      </c>
      <c r="I1101" s="214"/>
      <c r="J1101" s="214"/>
      <c r="K1101" s="214"/>
    </row>
    <row r="1102" spans="1:12" s="131" customFormat="1" ht="15.75" hidden="1" customHeight="1" x14ac:dyDescent="0.25">
      <c r="A1102" s="116" t="s">
        <v>97</v>
      </c>
      <c r="B1102" s="117" t="s">
        <v>134</v>
      </c>
      <c r="C1102" s="117" t="s">
        <v>83</v>
      </c>
      <c r="D1102" s="117" t="s">
        <v>328</v>
      </c>
      <c r="E1102" s="117"/>
      <c r="F1102" s="338">
        <f t="shared" si="95"/>
        <v>0</v>
      </c>
      <c r="G1102" s="338">
        <f t="shared" si="95"/>
        <v>0</v>
      </c>
      <c r="H1102" s="114" t="e">
        <f t="shared" si="94"/>
        <v>#DIV/0!</v>
      </c>
      <c r="I1102" s="214"/>
      <c r="J1102" s="214"/>
      <c r="K1102" s="214"/>
    </row>
    <row r="1103" spans="1:12" s="131" customFormat="1" ht="31.5" hidden="1" customHeight="1" x14ac:dyDescent="0.25">
      <c r="A1103" s="116" t="s">
        <v>330</v>
      </c>
      <c r="B1103" s="117" t="s">
        <v>134</v>
      </c>
      <c r="C1103" s="117" t="s">
        <v>83</v>
      </c>
      <c r="D1103" s="117" t="s">
        <v>328</v>
      </c>
      <c r="E1103" s="117"/>
      <c r="F1103" s="338">
        <f t="shared" si="95"/>
        <v>0</v>
      </c>
      <c r="G1103" s="338">
        <f t="shared" si="95"/>
        <v>0</v>
      </c>
      <c r="H1103" s="114" t="e">
        <f t="shared" si="94"/>
        <v>#DIV/0!</v>
      </c>
      <c r="I1103" s="214"/>
      <c r="J1103" s="214"/>
      <c r="K1103" s="214"/>
    </row>
    <row r="1104" spans="1:12" s="131" customFormat="1" ht="15.75" hidden="1" customHeight="1" x14ac:dyDescent="0.25">
      <c r="A1104" s="335" t="s">
        <v>226</v>
      </c>
      <c r="B1104" s="334" t="s">
        <v>134</v>
      </c>
      <c r="C1104" s="334" t="s">
        <v>83</v>
      </c>
      <c r="D1104" s="334" t="s">
        <v>416</v>
      </c>
      <c r="E1104" s="334"/>
      <c r="F1104" s="337">
        <f t="shared" si="95"/>
        <v>0</v>
      </c>
      <c r="G1104" s="337">
        <f t="shared" si="95"/>
        <v>0</v>
      </c>
      <c r="H1104" s="114" t="e">
        <f t="shared" si="94"/>
        <v>#DIV/0!</v>
      </c>
      <c r="I1104" s="214"/>
      <c r="J1104" s="214"/>
      <c r="K1104" s="214"/>
    </row>
    <row r="1105" spans="1:12" s="131" customFormat="1" ht="31.5" hidden="1" customHeight="1" x14ac:dyDescent="0.25">
      <c r="A1105" s="335" t="s">
        <v>88</v>
      </c>
      <c r="B1105" s="334" t="s">
        <v>134</v>
      </c>
      <c r="C1105" s="334" t="s">
        <v>83</v>
      </c>
      <c r="D1105" s="334" t="s">
        <v>416</v>
      </c>
      <c r="E1105" s="334" t="s">
        <v>89</v>
      </c>
      <c r="F1105" s="337">
        <f t="shared" si="95"/>
        <v>0</v>
      </c>
      <c r="G1105" s="337">
        <f t="shared" si="95"/>
        <v>0</v>
      </c>
      <c r="H1105" s="114" t="e">
        <f t="shared" si="94"/>
        <v>#DIV/0!</v>
      </c>
      <c r="I1105" s="214"/>
      <c r="J1105" s="214"/>
      <c r="K1105" s="214"/>
    </row>
    <row r="1106" spans="1:12" s="131" customFormat="1" ht="31.5" hidden="1" customHeight="1" x14ac:dyDescent="0.25">
      <c r="A1106" s="335" t="s">
        <v>90</v>
      </c>
      <c r="B1106" s="334" t="s">
        <v>134</v>
      </c>
      <c r="C1106" s="334" t="s">
        <v>83</v>
      </c>
      <c r="D1106" s="334" t="s">
        <v>416</v>
      </c>
      <c r="E1106" s="334" t="s">
        <v>91</v>
      </c>
      <c r="F1106" s="337">
        <f>'Пр.4 Ведом23'!G1393</f>
        <v>0</v>
      </c>
      <c r="G1106" s="337">
        <f>'Пр.4 Ведом23'!H1393</f>
        <v>0</v>
      </c>
      <c r="H1106" s="114" t="e">
        <f t="shared" si="94"/>
        <v>#DIV/0!</v>
      </c>
      <c r="I1106" s="214"/>
      <c r="J1106" s="214"/>
      <c r="K1106" s="214"/>
    </row>
    <row r="1107" spans="1:12" s="131" customFormat="1" ht="47.25" x14ac:dyDescent="0.25">
      <c r="A1107" s="130" t="s">
        <v>853</v>
      </c>
      <c r="B1107" s="117" t="s">
        <v>134</v>
      </c>
      <c r="C1107" s="117" t="s">
        <v>83</v>
      </c>
      <c r="D1107" s="117" t="s">
        <v>259</v>
      </c>
      <c r="E1107" s="334"/>
      <c r="F1107" s="273">
        <f>F1115+F1112</f>
        <v>1069.5274299999999</v>
      </c>
      <c r="G1107" s="273">
        <f>G1115+G1112</f>
        <v>1041.8389999999999</v>
      </c>
      <c r="H1107" s="113">
        <f t="shared" si="94"/>
        <v>97.41115288646688</v>
      </c>
      <c r="I1107" s="132"/>
      <c r="J1107" s="132"/>
      <c r="K1107" s="132"/>
    </row>
    <row r="1108" spans="1:12" s="131" customFormat="1" ht="31.5" hidden="1" customHeight="1" x14ac:dyDescent="0.25">
      <c r="A1108" s="180" t="s">
        <v>702</v>
      </c>
      <c r="B1108" s="117" t="s">
        <v>134</v>
      </c>
      <c r="C1108" s="117" t="s">
        <v>83</v>
      </c>
      <c r="D1108" s="117" t="s">
        <v>703</v>
      </c>
      <c r="E1108" s="119"/>
      <c r="F1108" s="273">
        <f>F1112+F1109</f>
        <v>0</v>
      </c>
      <c r="G1108" s="273">
        <f>G1112+G1109</f>
        <v>0</v>
      </c>
      <c r="H1108" s="113" t="e">
        <f t="shared" si="94"/>
        <v>#DIV/0!</v>
      </c>
      <c r="I1108" s="132"/>
      <c r="J1108" s="132"/>
      <c r="K1108" s="132"/>
    </row>
    <row r="1109" spans="1:12" s="131" customFormat="1" ht="15.75" hidden="1" customHeight="1" x14ac:dyDescent="0.25">
      <c r="A1109" s="335" t="s">
        <v>126</v>
      </c>
      <c r="B1109" s="334" t="s">
        <v>134</v>
      </c>
      <c r="C1109" s="334" t="s">
        <v>83</v>
      </c>
      <c r="D1109" s="334" t="s">
        <v>704</v>
      </c>
      <c r="E1109" s="118"/>
      <c r="F1109" s="271">
        <f>F1110</f>
        <v>0</v>
      </c>
      <c r="G1109" s="271">
        <f>G1110</f>
        <v>0</v>
      </c>
      <c r="H1109" s="113" t="e">
        <f t="shared" si="94"/>
        <v>#DIV/0!</v>
      </c>
      <c r="I1109" s="132"/>
      <c r="J1109" s="132"/>
      <c r="K1109" s="132"/>
    </row>
    <row r="1110" spans="1:12" ht="31.5" hidden="1" customHeight="1" x14ac:dyDescent="0.25">
      <c r="A1110" s="335" t="s">
        <v>88</v>
      </c>
      <c r="B1110" s="334" t="s">
        <v>134</v>
      </c>
      <c r="C1110" s="334" t="s">
        <v>83</v>
      </c>
      <c r="D1110" s="334" t="s">
        <v>704</v>
      </c>
      <c r="E1110" s="118" t="s">
        <v>89</v>
      </c>
      <c r="F1110" s="271">
        <f>F1111</f>
        <v>0</v>
      </c>
      <c r="G1110" s="271">
        <f>G1111</f>
        <v>0</v>
      </c>
      <c r="H1110" s="113" t="e">
        <f t="shared" si="94"/>
        <v>#DIV/0!</v>
      </c>
    </row>
    <row r="1111" spans="1:12" ht="31.5" hidden="1" customHeight="1" x14ac:dyDescent="0.25">
      <c r="A1111" s="335" t="s">
        <v>90</v>
      </c>
      <c r="B1111" s="334" t="s">
        <v>134</v>
      </c>
      <c r="C1111" s="334" t="s">
        <v>83</v>
      </c>
      <c r="D1111" s="334" t="s">
        <v>704</v>
      </c>
      <c r="E1111" s="118" t="s">
        <v>91</v>
      </c>
      <c r="F1111" s="271">
        <f>'Пр.4 Ведом23'!G289</f>
        <v>0</v>
      </c>
      <c r="G1111" s="271">
        <f>'Пр.4 Ведом23'!H289</f>
        <v>0</v>
      </c>
      <c r="H1111" s="113" t="e">
        <f t="shared" si="94"/>
        <v>#DIV/0!</v>
      </c>
    </row>
    <row r="1112" spans="1:12" ht="47.25" hidden="1" customHeight="1" x14ac:dyDescent="0.25">
      <c r="A1112" s="335" t="s">
        <v>829</v>
      </c>
      <c r="B1112" s="334" t="s">
        <v>134</v>
      </c>
      <c r="C1112" s="334" t="s">
        <v>83</v>
      </c>
      <c r="D1112" s="334" t="s">
        <v>713</v>
      </c>
      <c r="E1112" s="118"/>
      <c r="F1112" s="271">
        <f>F1113</f>
        <v>0</v>
      </c>
      <c r="G1112" s="271">
        <f>G1113</f>
        <v>0</v>
      </c>
      <c r="H1112" s="113" t="e">
        <f t="shared" si="94"/>
        <v>#DIV/0!</v>
      </c>
    </row>
    <row r="1113" spans="1:12" ht="31.5" hidden="1" customHeight="1" x14ac:dyDescent="0.25">
      <c r="A1113" s="335" t="s">
        <v>137</v>
      </c>
      <c r="B1113" s="334" t="s">
        <v>134</v>
      </c>
      <c r="C1113" s="334" t="s">
        <v>83</v>
      </c>
      <c r="D1113" s="334" t="s">
        <v>713</v>
      </c>
      <c r="E1113" s="118" t="s">
        <v>138</v>
      </c>
      <c r="F1113" s="271">
        <f>F1114</f>
        <v>0</v>
      </c>
      <c r="G1113" s="271">
        <f>G1114</f>
        <v>0</v>
      </c>
      <c r="H1113" s="113" t="e">
        <f t="shared" si="94"/>
        <v>#DIV/0!</v>
      </c>
      <c r="L1113" s="15"/>
    </row>
    <row r="1114" spans="1:12" ht="31.5" hidden="1" customHeight="1" x14ac:dyDescent="0.25">
      <c r="A1114" s="335" t="s">
        <v>139</v>
      </c>
      <c r="B1114" s="334" t="s">
        <v>134</v>
      </c>
      <c r="C1114" s="334" t="s">
        <v>83</v>
      </c>
      <c r="D1114" s="334" t="s">
        <v>713</v>
      </c>
      <c r="E1114" s="118" t="s">
        <v>140</v>
      </c>
      <c r="F1114" s="271">
        <f>'Пр.4 Ведом23'!G292</f>
        <v>0</v>
      </c>
      <c r="G1114" s="271">
        <f>'Пр.4 Ведом23'!H292</f>
        <v>0</v>
      </c>
      <c r="H1114" s="113" t="e">
        <f t="shared" si="94"/>
        <v>#DIV/0!</v>
      </c>
    </row>
    <row r="1115" spans="1:12" s="131" customFormat="1" ht="47.25" x14ac:dyDescent="0.25">
      <c r="A1115" s="130" t="s">
        <v>853</v>
      </c>
      <c r="B1115" s="117" t="s">
        <v>134</v>
      </c>
      <c r="C1115" s="117" t="s">
        <v>83</v>
      </c>
      <c r="D1115" s="117" t="s">
        <v>259</v>
      </c>
      <c r="E1115" s="118"/>
      <c r="F1115" s="273">
        <f t="shared" ref="F1115:G1118" si="96">F1116</f>
        <v>1069.5274299999999</v>
      </c>
      <c r="G1115" s="273">
        <f t="shared" si="96"/>
        <v>1041.8389999999999</v>
      </c>
      <c r="H1115" s="113">
        <f t="shared" si="94"/>
        <v>97.41115288646688</v>
      </c>
      <c r="I1115" s="214"/>
      <c r="J1115" s="214"/>
      <c r="K1115" s="214"/>
    </row>
    <row r="1116" spans="1:12" s="131" customFormat="1" ht="31.5" x14ac:dyDescent="0.25">
      <c r="A1116" s="180" t="s">
        <v>702</v>
      </c>
      <c r="B1116" s="117" t="s">
        <v>134</v>
      </c>
      <c r="C1116" s="117" t="s">
        <v>83</v>
      </c>
      <c r="D1116" s="117" t="s">
        <v>703</v>
      </c>
      <c r="E1116" s="118"/>
      <c r="F1116" s="271">
        <f t="shared" si="96"/>
        <v>1069.5274299999999</v>
      </c>
      <c r="G1116" s="271">
        <f t="shared" si="96"/>
        <v>1041.8389999999999</v>
      </c>
      <c r="H1116" s="114">
        <f t="shared" si="94"/>
        <v>97.41115288646688</v>
      </c>
      <c r="I1116" s="214"/>
      <c r="J1116" s="214"/>
      <c r="K1116" s="214"/>
    </row>
    <row r="1117" spans="1:12" s="131" customFormat="1" ht="47.25" x14ac:dyDescent="0.25">
      <c r="A1117" s="335" t="s">
        <v>1068</v>
      </c>
      <c r="B1117" s="334" t="s">
        <v>134</v>
      </c>
      <c r="C1117" s="334" t="s">
        <v>83</v>
      </c>
      <c r="D1117" s="334" t="s">
        <v>1059</v>
      </c>
      <c r="E1117" s="118"/>
      <c r="F1117" s="271">
        <f t="shared" si="96"/>
        <v>1069.5274299999999</v>
      </c>
      <c r="G1117" s="271">
        <f t="shared" si="96"/>
        <v>1041.8389999999999</v>
      </c>
      <c r="H1117" s="114">
        <f t="shared" si="94"/>
        <v>97.41115288646688</v>
      </c>
      <c r="I1117" s="214"/>
      <c r="J1117" s="214"/>
      <c r="K1117" s="214"/>
    </row>
    <row r="1118" spans="1:12" s="131" customFormat="1" ht="31.5" x14ac:dyDescent="0.25">
      <c r="A1118" s="335" t="s">
        <v>137</v>
      </c>
      <c r="B1118" s="334" t="s">
        <v>134</v>
      </c>
      <c r="C1118" s="334" t="s">
        <v>83</v>
      </c>
      <c r="D1118" s="334" t="s">
        <v>1059</v>
      </c>
      <c r="E1118" s="118" t="s">
        <v>138</v>
      </c>
      <c r="F1118" s="271">
        <f t="shared" si="96"/>
        <v>1069.5274299999999</v>
      </c>
      <c r="G1118" s="271">
        <f t="shared" si="96"/>
        <v>1041.8389999999999</v>
      </c>
      <c r="H1118" s="114">
        <f t="shared" si="94"/>
        <v>97.41115288646688</v>
      </c>
      <c r="I1118" s="214"/>
      <c r="J1118" s="214"/>
      <c r="K1118" s="214"/>
    </row>
    <row r="1119" spans="1:12" s="131" customFormat="1" ht="31.5" x14ac:dyDescent="0.25">
      <c r="A1119" s="335" t="s">
        <v>139</v>
      </c>
      <c r="B1119" s="334" t="s">
        <v>134</v>
      </c>
      <c r="C1119" s="334" t="s">
        <v>83</v>
      </c>
      <c r="D1119" s="334" t="s">
        <v>1059</v>
      </c>
      <c r="E1119" s="118" t="s">
        <v>140</v>
      </c>
      <c r="F1119" s="271">
        <f>'Пр.4 Ведом23'!G296</f>
        <v>1069.5274299999999</v>
      </c>
      <c r="G1119" s="271">
        <f>'Пр.4 Ведом23'!H296</f>
        <v>1041.8389999999999</v>
      </c>
      <c r="H1119" s="114">
        <f t="shared" si="94"/>
        <v>97.41115288646688</v>
      </c>
      <c r="I1119" s="214"/>
      <c r="J1119" s="214"/>
      <c r="K1119" s="214"/>
    </row>
    <row r="1120" spans="1:12" ht="15.75" x14ac:dyDescent="0.25">
      <c r="A1120" s="116" t="s">
        <v>196</v>
      </c>
      <c r="B1120" s="117" t="s">
        <v>197</v>
      </c>
      <c r="C1120" s="334"/>
      <c r="D1120" s="334"/>
      <c r="E1120" s="334"/>
      <c r="F1120" s="338">
        <f>F1121+F1210+F1178</f>
        <v>88927.747149999981</v>
      </c>
      <c r="G1120" s="338">
        <f>G1121+G1210+G1178</f>
        <v>85495.869489999997</v>
      </c>
      <c r="H1120" s="113">
        <f t="shared" si="94"/>
        <v>96.140824691970181</v>
      </c>
    </row>
    <row r="1121" spans="1:11" ht="15.75" x14ac:dyDescent="0.25">
      <c r="A1121" s="116" t="s">
        <v>198</v>
      </c>
      <c r="B1121" s="117" t="s">
        <v>197</v>
      </c>
      <c r="C1121" s="117" t="s">
        <v>81</v>
      </c>
      <c r="D1121" s="334"/>
      <c r="E1121" s="334"/>
      <c r="F1121" s="338">
        <f>F1122+F1168+F1173</f>
        <v>49747.441759999987</v>
      </c>
      <c r="G1121" s="338">
        <f>G1122+G1168+G1173</f>
        <v>46360.78325</v>
      </c>
      <c r="H1121" s="113">
        <f t="shared" si="94"/>
        <v>93.192296145923493</v>
      </c>
    </row>
    <row r="1122" spans="1:11" s="75" customFormat="1" ht="47.25" x14ac:dyDescent="0.25">
      <c r="A1122" s="116" t="s">
        <v>888</v>
      </c>
      <c r="B1122" s="117" t="s">
        <v>197</v>
      </c>
      <c r="C1122" s="117" t="s">
        <v>81</v>
      </c>
      <c r="D1122" s="117" t="s">
        <v>195</v>
      </c>
      <c r="E1122" s="117"/>
      <c r="F1122" s="338">
        <f>F1123+F1133+F1149+F1156+F1160+F1164+F1146</f>
        <v>49117.341759999988</v>
      </c>
      <c r="G1122" s="338">
        <f>G1123+G1133+G1149+G1156+G1160+G1164+G1146</f>
        <v>45730.683250000002</v>
      </c>
      <c r="H1122" s="113">
        <f t="shared" si="94"/>
        <v>93.104963769114221</v>
      </c>
      <c r="I1122" s="132"/>
      <c r="J1122" s="132"/>
      <c r="K1122" s="132"/>
    </row>
    <row r="1123" spans="1:11" s="75" customFormat="1" ht="31.5" x14ac:dyDescent="0.25">
      <c r="A1123" s="116" t="s">
        <v>375</v>
      </c>
      <c r="B1123" s="117" t="s">
        <v>197</v>
      </c>
      <c r="C1123" s="117" t="s">
        <v>81</v>
      </c>
      <c r="D1123" s="117" t="s">
        <v>599</v>
      </c>
      <c r="E1123" s="117"/>
      <c r="F1123" s="338">
        <f>F1124+F1130+F1127</f>
        <v>40354.130059999989</v>
      </c>
      <c r="G1123" s="338">
        <f>G1124+G1130+G1127</f>
        <v>38363.068259999993</v>
      </c>
      <c r="H1123" s="113">
        <f t="shared" si="94"/>
        <v>95.066027202074196</v>
      </c>
      <c r="I1123" s="132"/>
      <c r="J1123" s="132"/>
      <c r="K1123" s="132"/>
    </row>
    <row r="1124" spans="1:11" s="75" customFormat="1" ht="31.5" x14ac:dyDescent="0.25">
      <c r="A1124" s="335" t="s">
        <v>199</v>
      </c>
      <c r="B1124" s="334" t="s">
        <v>197</v>
      </c>
      <c r="C1124" s="334" t="s">
        <v>81</v>
      </c>
      <c r="D1124" s="334" t="s">
        <v>600</v>
      </c>
      <c r="E1124" s="334"/>
      <c r="F1124" s="337">
        <f t="shared" ref="F1124:G1124" si="97">F1125</f>
        <v>39817.118129999995</v>
      </c>
      <c r="G1124" s="337">
        <f t="shared" si="97"/>
        <v>37826.056329999999</v>
      </c>
      <c r="H1124" s="114">
        <f t="shared" si="94"/>
        <v>94.999482902054027</v>
      </c>
      <c r="I1124" s="132"/>
      <c r="J1124" s="132"/>
      <c r="K1124" s="132"/>
    </row>
    <row r="1125" spans="1:11" ht="31.5" x14ac:dyDescent="0.25">
      <c r="A1125" s="335" t="s">
        <v>149</v>
      </c>
      <c r="B1125" s="334" t="s">
        <v>197</v>
      </c>
      <c r="C1125" s="334" t="s">
        <v>81</v>
      </c>
      <c r="D1125" s="334" t="s">
        <v>600</v>
      </c>
      <c r="E1125" s="334" t="s">
        <v>150</v>
      </c>
      <c r="F1125" s="337">
        <f>F1126</f>
        <v>39817.118129999995</v>
      </c>
      <c r="G1125" s="337">
        <f>G1126</f>
        <v>37826.056329999999</v>
      </c>
      <c r="H1125" s="114">
        <f t="shared" si="94"/>
        <v>94.999482902054027</v>
      </c>
    </row>
    <row r="1126" spans="1:11" ht="15.75" x14ac:dyDescent="0.25">
      <c r="A1126" s="335" t="s">
        <v>151</v>
      </c>
      <c r="B1126" s="334" t="s">
        <v>197</v>
      </c>
      <c r="C1126" s="334" t="s">
        <v>81</v>
      </c>
      <c r="D1126" s="334" t="s">
        <v>600</v>
      </c>
      <c r="E1126" s="334" t="s">
        <v>152</v>
      </c>
      <c r="F1126" s="271">
        <f>'Пр.4 Ведом23'!G967</f>
        <v>39817.118129999995</v>
      </c>
      <c r="G1126" s="271">
        <f>'Пр.4 Ведом23'!H967</f>
        <v>37826.056329999999</v>
      </c>
      <c r="H1126" s="114">
        <f t="shared" si="94"/>
        <v>94.999482902054027</v>
      </c>
    </row>
    <row r="1127" spans="1:11" s="332" customFormat="1" ht="31.5" x14ac:dyDescent="0.25">
      <c r="A1127" s="335" t="s">
        <v>1118</v>
      </c>
      <c r="B1127" s="334" t="s">
        <v>197</v>
      </c>
      <c r="C1127" s="334" t="s">
        <v>81</v>
      </c>
      <c r="D1127" s="334" t="s">
        <v>1123</v>
      </c>
      <c r="E1127" s="334"/>
      <c r="F1127" s="271">
        <f>F1128</f>
        <v>521.52</v>
      </c>
      <c r="G1127" s="271">
        <f>G1128</f>
        <v>521.52</v>
      </c>
      <c r="H1127" s="114">
        <f t="shared" si="94"/>
        <v>100</v>
      </c>
      <c r="I1127" s="333"/>
      <c r="J1127" s="333"/>
      <c r="K1127" s="333"/>
    </row>
    <row r="1128" spans="1:11" s="332" customFormat="1" ht="31.5" x14ac:dyDescent="0.25">
      <c r="A1128" s="335" t="s">
        <v>149</v>
      </c>
      <c r="B1128" s="334" t="s">
        <v>197</v>
      </c>
      <c r="C1128" s="334" t="s">
        <v>81</v>
      </c>
      <c r="D1128" s="334" t="s">
        <v>1123</v>
      </c>
      <c r="E1128" s="334" t="s">
        <v>150</v>
      </c>
      <c r="F1128" s="271">
        <f>F1129</f>
        <v>521.52</v>
      </c>
      <c r="G1128" s="271">
        <f>G1129</f>
        <v>521.52</v>
      </c>
      <c r="H1128" s="114">
        <f t="shared" si="94"/>
        <v>100</v>
      </c>
      <c r="I1128" s="333"/>
      <c r="J1128" s="333"/>
      <c r="K1128" s="333"/>
    </row>
    <row r="1129" spans="1:11" s="332" customFormat="1" ht="15.75" x14ac:dyDescent="0.25">
      <c r="A1129" s="335" t="s">
        <v>151</v>
      </c>
      <c r="B1129" s="334" t="s">
        <v>197</v>
      </c>
      <c r="C1129" s="334" t="s">
        <v>81</v>
      </c>
      <c r="D1129" s="334" t="s">
        <v>1123</v>
      </c>
      <c r="E1129" s="334" t="s">
        <v>152</v>
      </c>
      <c r="F1129" s="271">
        <f>'Пр.4 Ведом23'!G970</f>
        <v>521.52</v>
      </c>
      <c r="G1129" s="271">
        <f>'Пр.4 Ведом23'!H970</f>
        <v>521.52</v>
      </c>
      <c r="H1129" s="114">
        <f t="shared" si="94"/>
        <v>100</v>
      </c>
      <c r="I1129" s="333"/>
      <c r="J1129" s="333"/>
      <c r="K1129" s="333"/>
    </row>
    <row r="1130" spans="1:11" s="332" customFormat="1" ht="51.75" customHeight="1" x14ac:dyDescent="0.25">
      <c r="A1130" s="335" t="s">
        <v>1107</v>
      </c>
      <c r="B1130" s="334" t="s">
        <v>197</v>
      </c>
      <c r="C1130" s="334" t="s">
        <v>81</v>
      </c>
      <c r="D1130" s="334" t="s">
        <v>1113</v>
      </c>
      <c r="E1130" s="334"/>
      <c r="F1130" s="271">
        <f>F1131</f>
        <v>15.49193</v>
      </c>
      <c r="G1130" s="271">
        <f>G1131</f>
        <v>15.49193</v>
      </c>
      <c r="H1130" s="114">
        <f t="shared" si="94"/>
        <v>100</v>
      </c>
      <c r="I1130" s="333"/>
      <c r="J1130" s="333"/>
      <c r="K1130" s="333"/>
    </row>
    <row r="1131" spans="1:11" s="332" customFormat="1" ht="31.5" x14ac:dyDescent="0.25">
      <c r="A1131" s="335" t="s">
        <v>149</v>
      </c>
      <c r="B1131" s="334" t="s">
        <v>197</v>
      </c>
      <c r="C1131" s="334" t="s">
        <v>81</v>
      </c>
      <c r="D1131" s="334" t="s">
        <v>1113</v>
      </c>
      <c r="E1131" s="334" t="s">
        <v>150</v>
      </c>
      <c r="F1131" s="271">
        <f>F1132</f>
        <v>15.49193</v>
      </c>
      <c r="G1131" s="271">
        <f>G1132</f>
        <v>15.49193</v>
      </c>
      <c r="H1131" s="114">
        <f t="shared" si="94"/>
        <v>100</v>
      </c>
      <c r="I1131" s="333"/>
      <c r="J1131" s="333"/>
      <c r="K1131" s="333"/>
    </row>
    <row r="1132" spans="1:11" s="332" customFormat="1" ht="15.75" x14ac:dyDescent="0.25">
      <c r="A1132" s="335" t="s">
        <v>151</v>
      </c>
      <c r="B1132" s="334" t="s">
        <v>197</v>
      </c>
      <c r="C1132" s="334" t="s">
        <v>81</v>
      </c>
      <c r="D1132" s="334" t="s">
        <v>1113</v>
      </c>
      <c r="E1132" s="334" t="s">
        <v>152</v>
      </c>
      <c r="F1132" s="271">
        <f>'Пр.4 Ведом23'!G973</f>
        <v>15.49193</v>
      </c>
      <c r="G1132" s="271">
        <f>'Пр.4 Ведом23'!H973</f>
        <v>15.49193</v>
      </c>
      <c r="H1132" s="114">
        <f t="shared" si="94"/>
        <v>100</v>
      </c>
      <c r="I1132" s="333"/>
      <c r="J1132" s="333"/>
      <c r="K1132" s="333"/>
    </row>
    <row r="1133" spans="1:11" ht="31.5" x14ac:dyDescent="0.25">
      <c r="A1133" s="116" t="s">
        <v>379</v>
      </c>
      <c r="B1133" s="117" t="s">
        <v>197</v>
      </c>
      <c r="C1133" s="117" t="s">
        <v>81</v>
      </c>
      <c r="D1133" s="117" t="s">
        <v>601</v>
      </c>
      <c r="E1133" s="117"/>
      <c r="F1133" s="273">
        <f>F1134+F1137+F1140+F1143</f>
        <v>461.18200000000002</v>
      </c>
      <c r="G1133" s="273">
        <f>G1134+G1137+G1140+G1143</f>
        <v>461.17100000000005</v>
      </c>
      <c r="H1133" s="113">
        <f t="shared" si="94"/>
        <v>99.997614824516148</v>
      </c>
    </row>
    <row r="1134" spans="1:11" ht="31.5" x14ac:dyDescent="0.25">
      <c r="A1134" s="335" t="s">
        <v>153</v>
      </c>
      <c r="B1134" s="334" t="s">
        <v>197</v>
      </c>
      <c r="C1134" s="334" t="s">
        <v>81</v>
      </c>
      <c r="D1134" s="334" t="s">
        <v>635</v>
      </c>
      <c r="E1134" s="334"/>
      <c r="F1134" s="337">
        <f>F1135</f>
        <v>261.35000000000002</v>
      </c>
      <c r="G1134" s="337">
        <f>G1135</f>
        <v>261.35000000000002</v>
      </c>
      <c r="H1134" s="114">
        <f t="shared" si="94"/>
        <v>100</v>
      </c>
    </row>
    <row r="1135" spans="1:11" ht="31.5" x14ac:dyDescent="0.25">
      <c r="A1135" s="335" t="s">
        <v>149</v>
      </c>
      <c r="B1135" s="334" t="s">
        <v>197</v>
      </c>
      <c r="C1135" s="334" t="s">
        <v>81</v>
      </c>
      <c r="D1135" s="334" t="s">
        <v>635</v>
      </c>
      <c r="E1135" s="334" t="s">
        <v>150</v>
      </c>
      <c r="F1135" s="337">
        <f>F1136</f>
        <v>261.35000000000002</v>
      </c>
      <c r="G1135" s="337">
        <f>G1136</f>
        <v>261.35000000000002</v>
      </c>
      <c r="H1135" s="114">
        <f t="shared" si="94"/>
        <v>100</v>
      </c>
    </row>
    <row r="1136" spans="1:11" ht="15.75" x14ac:dyDescent="0.25">
      <c r="A1136" s="335" t="s">
        <v>151</v>
      </c>
      <c r="B1136" s="334" t="s">
        <v>197</v>
      </c>
      <c r="C1136" s="334" t="s">
        <v>81</v>
      </c>
      <c r="D1136" s="334" t="s">
        <v>635</v>
      </c>
      <c r="E1136" s="334" t="s">
        <v>152</v>
      </c>
      <c r="F1136" s="337">
        <f>'Пр.4 Ведом23'!G977</f>
        <v>261.35000000000002</v>
      </c>
      <c r="G1136" s="337">
        <f>'Пр.4 Ведом23'!H977</f>
        <v>261.35000000000002</v>
      </c>
      <c r="H1136" s="114">
        <f t="shared" si="94"/>
        <v>100</v>
      </c>
    </row>
    <row r="1137" spans="1:11" s="131" customFormat="1" ht="31.5" x14ac:dyDescent="0.25">
      <c r="A1137" s="335" t="s">
        <v>855</v>
      </c>
      <c r="B1137" s="334" t="s">
        <v>197</v>
      </c>
      <c r="C1137" s="334" t="s">
        <v>81</v>
      </c>
      <c r="D1137" s="334" t="s">
        <v>636</v>
      </c>
      <c r="E1137" s="334"/>
      <c r="F1137" s="337">
        <f>F1138</f>
        <v>199.83199999999999</v>
      </c>
      <c r="G1137" s="337">
        <f>G1138</f>
        <v>199.821</v>
      </c>
      <c r="H1137" s="114">
        <f t="shared" si="94"/>
        <v>99.99449537611595</v>
      </c>
      <c r="I1137" s="132"/>
      <c r="J1137" s="132"/>
      <c r="K1137" s="132"/>
    </row>
    <row r="1138" spans="1:11" s="131" customFormat="1" ht="31.5" x14ac:dyDescent="0.25">
      <c r="A1138" s="335" t="s">
        <v>149</v>
      </c>
      <c r="B1138" s="334" t="s">
        <v>197</v>
      </c>
      <c r="C1138" s="334" t="s">
        <v>81</v>
      </c>
      <c r="D1138" s="334" t="s">
        <v>636</v>
      </c>
      <c r="E1138" s="334" t="s">
        <v>150</v>
      </c>
      <c r="F1138" s="337">
        <f>F1139</f>
        <v>199.83199999999999</v>
      </c>
      <c r="G1138" s="337">
        <f>G1139</f>
        <v>199.821</v>
      </c>
      <c r="H1138" s="114">
        <f t="shared" si="94"/>
        <v>99.99449537611595</v>
      </c>
      <c r="I1138" s="132"/>
      <c r="J1138" s="132"/>
      <c r="K1138" s="132"/>
    </row>
    <row r="1139" spans="1:11" s="131" customFormat="1" ht="15.75" x14ac:dyDescent="0.25">
      <c r="A1139" s="335" t="s">
        <v>151</v>
      </c>
      <c r="B1139" s="334" t="s">
        <v>197</v>
      </c>
      <c r="C1139" s="334" t="s">
        <v>81</v>
      </c>
      <c r="D1139" s="334" t="s">
        <v>636</v>
      </c>
      <c r="E1139" s="334" t="s">
        <v>152</v>
      </c>
      <c r="F1139" s="337">
        <f>'Пр.4 Ведом23'!G980</f>
        <v>199.83199999999999</v>
      </c>
      <c r="G1139" s="337">
        <f>'Пр.4 Ведом23'!H980</f>
        <v>199.821</v>
      </c>
      <c r="H1139" s="114">
        <f t="shared" si="94"/>
        <v>99.99449537611595</v>
      </c>
      <c r="I1139" s="132"/>
      <c r="J1139" s="132"/>
      <c r="K1139" s="132"/>
    </row>
    <row r="1140" spans="1:11" s="131" customFormat="1" ht="31.5" hidden="1" customHeight="1" x14ac:dyDescent="0.25">
      <c r="A1140" s="335" t="s">
        <v>154</v>
      </c>
      <c r="B1140" s="334" t="s">
        <v>197</v>
      </c>
      <c r="C1140" s="334" t="s">
        <v>81</v>
      </c>
      <c r="D1140" s="334" t="s">
        <v>602</v>
      </c>
      <c r="E1140" s="334"/>
      <c r="F1140" s="337">
        <f>F1141</f>
        <v>0</v>
      </c>
      <c r="G1140" s="337">
        <f>G1141</f>
        <v>0</v>
      </c>
      <c r="H1140" s="114" t="e">
        <f t="shared" si="94"/>
        <v>#DIV/0!</v>
      </c>
      <c r="I1140" s="132"/>
      <c r="J1140" s="132"/>
      <c r="K1140" s="132"/>
    </row>
    <row r="1141" spans="1:11" s="131" customFormat="1" ht="31.5" hidden="1" customHeight="1" x14ac:dyDescent="0.25">
      <c r="A1141" s="335" t="s">
        <v>149</v>
      </c>
      <c r="B1141" s="334" t="s">
        <v>197</v>
      </c>
      <c r="C1141" s="334" t="s">
        <v>81</v>
      </c>
      <c r="D1141" s="334" t="s">
        <v>602</v>
      </c>
      <c r="E1141" s="334" t="s">
        <v>150</v>
      </c>
      <c r="F1141" s="337">
        <f>F1142</f>
        <v>0</v>
      </c>
      <c r="G1141" s="337">
        <f>G1142</f>
        <v>0</v>
      </c>
      <c r="H1141" s="114" t="e">
        <f t="shared" si="94"/>
        <v>#DIV/0!</v>
      </c>
      <c r="I1141" s="132"/>
      <c r="J1141" s="132"/>
      <c r="K1141" s="132"/>
    </row>
    <row r="1142" spans="1:11" s="131" customFormat="1" ht="15.75" hidden="1" customHeight="1" x14ac:dyDescent="0.25">
      <c r="A1142" s="335" t="s">
        <v>151</v>
      </c>
      <c r="B1142" s="334" t="s">
        <v>197</v>
      </c>
      <c r="C1142" s="334" t="s">
        <v>81</v>
      </c>
      <c r="D1142" s="334" t="s">
        <v>602</v>
      </c>
      <c r="E1142" s="334" t="s">
        <v>152</v>
      </c>
      <c r="F1142" s="337">
        <f>'Пр.4 Ведом23'!G983</f>
        <v>0</v>
      </c>
      <c r="G1142" s="337">
        <f>'Пр.4 Ведом23'!H983</f>
        <v>0</v>
      </c>
      <c r="H1142" s="114" t="e">
        <f t="shared" si="94"/>
        <v>#DIV/0!</v>
      </c>
      <c r="I1142" s="132"/>
      <c r="J1142" s="132"/>
      <c r="K1142" s="132"/>
    </row>
    <row r="1143" spans="1:11" s="131" customFormat="1" ht="31.5" hidden="1" customHeight="1" x14ac:dyDescent="0.25">
      <c r="A1143" s="335" t="s">
        <v>156</v>
      </c>
      <c r="B1143" s="334" t="s">
        <v>197</v>
      </c>
      <c r="C1143" s="334" t="s">
        <v>81</v>
      </c>
      <c r="D1143" s="334" t="s">
        <v>726</v>
      </c>
      <c r="E1143" s="334"/>
      <c r="F1143" s="337">
        <f>F1145</f>
        <v>0</v>
      </c>
      <c r="G1143" s="337">
        <f>G1145</f>
        <v>0</v>
      </c>
      <c r="H1143" s="114" t="e">
        <f t="shared" si="94"/>
        <v>#DIV/0!</v>
      </c>
      <c r="I1143" s="132"/>
      <c r="J1143" s="132"/>
      <c r="K1143" s="132"/>
    </row>
    <row r="1144" spans="1:11" s="131" customFormat="1" ht="31.5" hidden="1" customHeight="1" x14ac:dyDescent="0.25">
      <c r="A1144" s="335" t="s">
        <v>149</v>
      </c>
      <c r="B1144" s="334" t="s">
        <v>197</v>
      </c>
      <c r="C1144" s="334" t="s">
        <v>81</v>
      </c>
      <c r="D1144" s="334" t="s">
        <v>726</v>
      </c>
      <c r="E1144" s="334" t="s">
        <v>150</v>
      </c>
      <c r="F1144" s="337">
        <f>F1145</f>
        <v>0</v>
      </c>
      <c r="G1144" s="337">
        <f>G1145</f>
        <v>0</v>
      </c>
      <c r="H1144" s="114" t="e">
        <f t="shared" si="94"/>
        <v>#DIV/0!</v>
      </c>
      <c r="I1144" s="132"/>
      <c r="J1144" s="132"/>
      <c r="K1144" s="132"/>
    </row>
    <row r="1145" spans="1:11" s="131" customFormat="1" ht="15.75" hidden="1" customHeight="1" x14ac:dyDescent="0.25">
      <c r="A1145" s="335" t="s">
        <v>151</v>
      </c>
      <c r="B1145" s="334" t="s">
        <v>197</v>
      </c>
      <c r="C1145" s="334" t="s">
        <v>81</v>
      </c>
      <c r="D1145" s="334" t="s">
        <v>726</v>
      </c>
      <c r="E1145" s="334" t="s">
        <v>152</v>
      </c>
      <c r="F1145" s="337">
        <f>'Пр.4 Ведом23'!G986</f>
        <v>0</v>
      </c>
      <c r="G1145" s="337">
        <f>'Пр.4 Ведом23'!H986</f>
        <v>0</v>
      </c>
      <c r="H1145" s="114" t="e">
        <f t="shared" si="94"/>
        <v>#DIV/0!</v>
      </c>
      <c r="I1145" s="132"/>
      <c r="J1145" s="132"/>
      <c r="K1145" s="132"/>
    </row>
    <row r="1146" spans="1:11" s="131" customFormat="1" ht="31.5" hidden="1" customHeight="1" x14ac:dyDescent="0.25">
      <c r="A1146" s="335" t="s">
        <v>1074</v>
      </c>
      <c r="B1146" s="334" t="s">
        <v>197</v>
      </c>
      <c r="C1146" s="334" t="s">
        <v>81</v>
      </c>
      <c r="D1146" s="334" t="s">
        <v>1073</v>
      </c>
      <c r="E1146" s="334"/>
      <c r="F1146" s="337">
        <f>F1147</f>
        <v>0</v>
      </c>
      <c r="G1146" s="337">
        <f>G1147</f>
        <v>0</v>
      </c>
      <c r="H1146" s="114" t="e">
        <f t="shared" si="94"/>
        <v>#DIV/0!</v>
      </c>
      <c r="I1146" s="214"/>
      <c r="J1146" s="214"/>
      <c r="K1146" s="214"/>
    </row>
    <row r="1147" spans="1:11" s="131" customFormat="1" ht="31.5" hidden="1" customHeight="1" x14ac:dyDescent="0.25">
      <c r="A1147" s="335" t="s">
        <v>149</v>
      </c>
      <c r="B1147" s="334" t="s">
        <v>197</v>
      </c>
      <c r="C1147" s="334" t="s">
        <v>81</v>
      </c>
      <c r="D1147" s="334" t="s">
        <v>1073</v>
      </c>
      <c r="E1147" s="334" t="s">
        <v>150</v>
      </c>
      <c r="F1147" s="337">
        <f>F1148</f>
        <v>0</v>
      </c>
      <c r="G1147" s="337">
        <f>G1148</f>
        <v>0</v>
      </c>
      <c r="H1147" s="114" t="e">
        <f t="shared" si="94"/>
        <v>#DIV/0!</v>
      </c>
      <c r="I1147" s="214"/>
      <c r="J1147" s="214"/>
      <c r="K1147" s="214"/>
    </row>
    <row r="1148" spans="1:11" s="131" customFormat="1" ht="15.75" hidden="1" customHeight="1" x14ac:dyDescent="0.25">
      <c r="A1148" s="335" t="s">
        <v>151</v>
      </c>
      <c r="B1148" s="334" t="s">
        <v>197</v>
      </c>
      <c r="C1148" s="334" t="s">
        <v>81</v>
      </c>
      <c r="D1148" s="334" t="s">
        <v>1073</v>
      </c>
      <c r="E1148" s="334" t="s">
        <v>152</v>
      </c>
      <c r="F1148" s="337">
        <f>'Пр.4 Ведом23'!G989</f>
        <v>0</v>
      </c>
      <c r="G1148" s="337">
        <f>'Пр.4 Ведом23'!H989</f>
        <v>0</v>
      </c>
      <c r="H1148" s="114" t="e">
        <f t="shared" si="94"/>
        <v>#DIV/0!</v>
      </c>
      <c r="I1148" s="214"/>
      <c r="J1148" s="214"/>
      <c r="K1148" s="214"/>
    </row>
    <row r="1149" spans="1:11" ht="31.5" x14ac:dyDescent="0.25">
      <c r="A1149" s="116" t="s">
        <v>380</v>
      </c>
      <c r="B1149" s="117" t="s">
        <v>197</v>
      </c>
      <c r="C1149" s="117" t="s">
        <v>81</v>
      </c>
      <c r="D1149" s="117" t="s">
        <v>603</v>
      </c>
      <c r="E1149" s="117"/>
      <c r="F1149" s="338">
        <f>F1150+F1153</f>
        <v>377.62970000000001</v>
      </c>
      <c r="G1149" s="338">
        <f>G1150+G1153</f>
        <v>371.32310000000001</v>
      </c>
      <c r="H1149" s="113">
        <f t="shared" si="94"/>
        <v>98.329951272370792</v>
      </c>
    </row>
    <row r="1150" spans="1:11" ht="31.5" hidden="1" customHeight="1" x14ac:dyDescent="0.25">
      <c r="A1150" s="335" t="s">
        <v>276</v>
      </c>
      <c r="B1150" s="334" t="s">
        <v>197</v>
      </c>
      <c r="C1150" s="334" t="s">
        <v>81</v>
      </c>
      <c r="D1150" s="334" t="s">
        <v>625</v>
      </c>
      <c r="E1150" s="334"/>
      <c r="F1150" s="337">
        <f>F1151</f>
        <v>0</v>
      </c>
      <c r="G1150" s="337">
        <f>G1151</f>
        <v>0</v>
      </c>
      <c r="H1150" s="114" t="e">
        <f t="shared" si="94"/>
        <v>#DIV/0!</v>
      </c>
    </row>
    <row r="1151" spans="1:11" ht="31.5" hidden="1" customHeight="1" x14ac:dyDescent="0.25">
      <c r="A1151" s="335" t="s">
        <v>149</v>
      </c>
      <c r="B1151" s="334" t="s">
        <v>197</v>
      </c>
      <c r="C1151" s="334" t="s">
        <v>81</v>
      </c>
      <c r="D1151" s="334" t="s">
        <v>625</v>
      </c>
      <c r="E1151" s="334" t="s">
        <v>150</v>
      </c>
      <c r="F1151" s="337">
        <f>F1152</f>
        <v>0</v>
      </c>
      <c r="G1151" s="337">
        <f>G1152</f>
        <v>0</v>
      </c>
      <c r="H1151" s="114" t="e">
        <f t="shared" si="94"/>
        <v>#DIV/0!</v>
      </c>
    </row>
    <row r="1152" spans="1:11" ht="15.75" hidden="1" customHeight="1" x14ac:dyDescent="0.25">
      <c r="A1152" s="335" t="s">
        <v>151</v>
      </c>
      <c r="B1152" s="334" t="s">
        <v>197</v>
      </c>
      <c r="C1152" s="334" t="s">
        <v>81</v>
      </c>
      <c r="D1152" s="334" t="s">
        <v>625</v>
      </c>
      <c r="E1152" s="334" t="s">
        <v>152</v>
      </c>
      <c r="F1152" s="337">
        <f>'Пр.4 Ведом23'!G993</f>
        <v>0</v>
      </c>
      <c r="G1152" s="337">
        <f>'Пр.4 Ведом23'!H993</f>
        <v>0</v>
      </c>
      <c r="H1152" s="114" t="e">
        <f t="shared" si="94"/>
        <v>#DIV/0!</v>
      </c>
    </row>
    <row r="1153" spans="1:11" s="131" customFormat="1" ht="31.5" x14ac:dyDescent="0.25">
      <c r="A1153" s="26" t="s">
        <v>261</v>
      </c>
      <c r="B1153" s="334" t="s">
        <v>197</v>
      </c>
      <c r="C1153" s="334" t="s">
        <v>81</v>
      </c>
      <c r="D1153" s="334" t="s">
        <v>604</v>
      </c>
      <c r="E1153" s="334"/>
      <c r="F1153" s="337">
        <f>F1154</f>
        <v>377.62970000000001</v>
      </c>
      <c r="G1153" s="337">
        <f>G1154</f>
        <v>371.32310000000001</v>
      </c>
      <c r="H1153" s="114">
        <f t="shared" si="94"/>
        <v>98.329951272370792</v>
      </c>
      <c r="I1153" s="132"/>
      <c r="J1153" s="132"/>
      <c r="K1153" s="132"/>
    </row>
    <row r="1154" spans="1:11" s="131" customFormat="1" ht="31.5" x14ac:dyDescent="0.25">
      <c r="A1154" s="20" t="s">
        <v>149</v>
      </c>
      <c r="B1154" s="334" t="s">
        <v>197</v>
      </c>
      <c r="C1154" s="334" t="s">
        <v>81</v>
      </c>
      <c r="D1154" s="334" t="s">
        <v>604</v>
      </c>
      <c r="E1154" s="334" t="s">
        <v>150</v>
      </c>
      <c r="F1154" s="337">
        <f>F1155</f>
        <v>377.62970000000001</v>
      </c>
      <c r="G1154" s="337">
        <f>G1155</f>
        <v>371.32310000000001</v>
      </c>
      <c r="H1154" s="114">
        <f t="shared" si="94"/>
        <v>98.329951272370792</v>
      </c>
      <c r="I1154" s="132"/>
      <c r="J1154" s="132"/>
      <c r="K1154" s="132"/>
    </row>
    <row r="1155" spans="1:11" s="131" customFormat="1" ht="15.75" x14ac:dyDescent="0.25">
      <c r="A1155" s="20" t="s">
        <v>151</v>
      </c>
      <c r="B1155" s="334" t="s">
        <v>197</v>
      </c>
      <c r="C1155" s="334" t="s">
        <v>81</v>
      </c>
      <c r="D1155" s="334" t="s">
        <v>604</v>
      </c>
      <c r="E1155" s="334" t="s">
        <v>152</v>
      </c>
      <c r="F1155" s="337">
        <f>'Пр.4 Ведом23'!G996</f>
        <v>377.62970000000001</v>
      </c>
      <c r="G1155" s="337">
        <f>'Пр.4 Ведом23'!H996</f>
        <v>371.32310000000001</v>
      </c>
      <c r="H1155" s="114">
        <f t="shared" si="94"/>
        <v>98.329951272370792</v>
      </c>
      <c r="I1155" s="132"/>
      <c r="J1155" s="132"/>
      <c r="K1155" s="132"/>
    </row>
    <row r="1156" spans="1:11" s="131" customFormat="1" ht="47.25" x14ac:dyDescent="0.25">
      <c r="A1156" s="116" t="s">
        <v>349</v>
      </c>
      <c r="B1156" s="117" t="s">
        <v>197</v>
      </c>
      <c r="C1156" s="117" t="s">
        <v>81</v>
      </c>
      <c r="D1156" s="117" t="s">
        <v>605</v>
      </c>
      <c r="E1156" s="117"/>
      <c r="F1156" s="338">
        <f t="shared" ref="F1156:G1158" si="98">F1157</f>
        <v>417.5</v>
      </c>
      <c r="G1156" s="338">
        <f t="shared" si="98"/>
        <v>360.31027</v>
      </c>
      <c r="H1156" s="113">
        <f t="shared" si="94"/>
        <v>86.301861077844308</v>
      </c>
      <c r="I1156" s="132"/>
      <c r="J1156" s="132"/>
      <c r="K1156" s="132"/>
    </row>
    <row r="1157" spans="1:11" s="131" customFormat="1" ht="47.25" x14ac:dyDescent="0.25">
      <c r="A1157" s="335" t="s">
        <v>852</v>
      </c>
      <c r="B1157" s="334" t="s">
        <v>197</v>
      </c>
      <c r="C1157" s="334" t="s">
        <v>81</v>
      </c>
      <c r="D1157" s="334" t="s">
        <v>859</v>
      </c>
      <c r="E1157" s="334"/>
      <c r="F1157" s="337">
        <f t="shared" si="98"/>
        <v>417.5</v>
      </c>
      <c r="G1157" s="337">
        <f t="shared" si="98"/>
        <v>360.31027</v>
      </c>
      <c r="H1157" s="114">
        <f t="shared" si="94"/>
        <v>86.301861077844308</v>
      </c>
      <c r="I1157" s="132"/>
      <c r="J1157" s="132"/>
      <c r="K1157" s="132"/>
    </row>
    <row r="1158" spans="1:11" s="131" customFormat="1" ht="31.5" x14ac:dyDescent="0.25">
      <c r="A1158" s="335" t="s">
        <v>149</v>
      </c>
      <c r="B1158" s="334" t="s">
        <v>197</v>
      </c>
      <c r="C1158" s="334" t="s">
        <v>81</v>
      </c>
      <c r="D1158" s="334" t="s">
        <v>859</v>
      </c>
      <c r="E1158" s="334" t="s">
        <v>150</v>
      </c>
      <c r="F1158" s="337">
        <f t="shared" si="98"/>
        <v>417.5</v>
      </c>
      <c r="G1158" s="337">
        <f t="shared" si="98"/>
        <v>360.31027</v>
      </c>
      <c r="H1158" s="114">
        <f t="shared" si="94"/>
        <v>86.301861077844308</v>
      </c>
      <c r="I1158" s="132"/>
      <c r="J1158" s="132"/>
      <c r="K1158" s="132"/>
    </row>
    <row r="1159" spans="1:11" ht="15.75" x14ac:dyDescent="0.25">
      <c r="A1159" s="335" t="s">
        <v>151</v>
      </c>
      <c r="B1159" s="334" t="s">
        <v>197</v>
      </c>
      <c r="C1159" s="334" t="s">
        <v>81</v>
      </c>
      <c r="D1159" s="334" t="s">
        <v>859</v>
      </c>
      <c r="E1159" s="334" t="s">
        <v>152</v>
      </c>
      <c r="F1159" s="337">
        <f>'Пр.4 Ведом23'!G1000</f>
        <v>417.5</v>
      </c>
      <c r="G1159" s="337">
        <f>'Пр.4 Ведом23'!H1000</f>
        <v>360.31027</v>
      </c>
      <c r="H1159" s="114">
        <f t="shared" si="94"/>
        <v>86.301861077844308</v>
      </c>
    </row>
    <row r="1160" spans="1:11" s="75" customFormat="1" ht="47.25" x14ac:dyDescent="0.25">
      <c r="A1160" s="116" t="s">
        <v>716</v>
      </c>
      <c r="B1160" s="117" t="s">
        <v>197</v>
      </c>
      <c r="C1160" s="117" t="s">
        <v>81</v>
      </c>
      <c r="D1160" s="117" t="s">
        <v>714</v>
      </c>
      <c r="E1160" s="117"/>
      <c r="F1160" s="338">
        <f t="shared" ref="F1160:G1161" si="99">F1161</f>
        <v>7506.9</v>
      </c>
      <c r="G1160" s="338">
        <f t="shared" si="99"/>
        <v>6174.8106200000002</v>
      </c>
      <c r="H1160" s="113">
        <f t="shared" si="94"/>
        <v>82.255133543806366</v>
      </c>
      <c r="I1160" s="132"/>
      <c r="J1160" s="132"/>
      <c r="K1160" s="132"/>
    </row>
    <row r="1161" spans="1:11" s="75" customFormat="1" ht="31.5" x14ac:dyDescent="0.25">
      <c r="A1161" s="20" t="s">
        <v>860</v>
      </c>
      <c r="B1161" s="334" t="s">
        <v>197</v>
      </c>
      <c r="C1161" s="334" t="s">
        <v>81</v>
      </c>
      <c r="D1161" s="334" t="s">
        <v>715</v>
      </c>
      <c r="E1161" s="334"/>
      <c r="F1161" s="337">
        <f t="shared" si="99"/>
        <v>7506.9</v>
      </c>
      <c r="G1161" s="337">
        <f t="shared" si="99"/>
        <v>6174.8106200000002</v>
      </c>
      <c r="H1161" s="114">
        <f t="shared" si="94"/>
        <v>82.255133543806366</v>
      </c>
      <c r="I1161" s="132"/>
      <c r="J1161" s="132"/>
      <c r="K1161" s="132"/>
    </row>
    <row r="1162" spans="1:11" s="75" customFormat="1" ht="31.5" x14ac:dyDescent="0.25">
      <c r="A1162" s="335" t="s">
        <v>149</v>
      </c>
      <c r="B1162" s="334" t="s">
        <v>197</v>
      </c>
      <c r="C1162" s="334" t="s">
        <v>81</v>
      </c>
      <c r="D1162" s="334" t="s">
        <v>715</v>
      </c>
      <c r="E1162" s="334" t="s">
        <v>150</v>
      </c>
      <c r="F1162" s="337">
        <f>F1163</f>
        <v>7506.9</v>
      </c>
      <c r="G1162" s="337">
        <f>G1163</f>
        <v>6174.8106200000002</v>
      </c>
      <c r="H1162" s="114">
        <f t="shared" si="94"/>
        <v>82.255133543806366</v>
      </c>
      <c r="I1162" s="132"/>
      <c r="J1162" s="132"/>
      <c r="K1162" s="132"/>
    </row>
    <row r="1163" spans="1:11" s="131" customFormat="1" ht="15.75" x14ac:dyDescent="0.25">
      <c r="A1163" s="335" t="s">
        <v>151</v>
      </c>
      <c r="B1163" s="334" t="s">
        <v>197</v>
      </c>
      <c r="C1163" s="334" t="s">
        <v>81</v>
      </c>
      <c r="D1163" s="334" t="s">
        <v>715</v>
      </c>
      <c r="E1163" s="334" t="s">
        <v>152</v>
      </c>
      <c r="F1163" s="337">
        <f>'Пр.4 Ведом23'!G1004</f>
        <v>7506.9</v>
      </c>
      <c r="G1163" s="337">
        <f>'Пр.4 Ведом23'!H1004</f>
        <v>6174.8106200000002</v>
      </c>
      <c r="H1163" s="114">
        <f t="shared" ref="H1163:H1226" si="100">G1163/F1163*100</f>
        <v>82.255133543806366</v>
      </c>
      <c r="I1163" s="132"/>
      <c r="J1163" s="132"/>
      <c r="K1163" s="132"/>
    </row>
    <row r="1164" spans="1:11" s="131" customFormat="1" ht="31.5" hidden="1" customHeight="1" x14ac:dyDescent="0.25">
      <c r="A1164" s="130" t="s">
        <v>750</v>
      </c>
      <c r="B1164" s="117" t="s">
        <v>197</v>
      </c>
      <c r="C1164" s="117" t="s">
        <v>81</v>
      </c>
      <c r="D1164" s="117" t="s">
        <v>751</v>
      </c>
      <c r="E1164" s="117"/>
      <c r="F1164" s="338">
        <f t="shared" ref="F1164:G1166" si="101">F1165</f>
        <v>0</v>
      </c>
      <c r="G1164" s="338">
        <f t="shared" si="101"/>
        <v>0</v>
      </c>
      <c r="H1164" s="114" t="e">
        <f t="shared" si="100"/>
        <v>#DIV/0!</v>
      </c>
      <c r="I1164" s="132"/>
      <c r="J1164" s="132"/>
      <c r="K1164" s="132"/>
    </row>
    <row r="1165" spans="1:11" s="75" customFormat="1" ht="31.5" hidden="1" customHeight="1" x14ac:dyDescent="0.25">
      <c r="A1165" s="19" t="s">
        <v>753</v>
      </c>
      <c r="B1165" s="334" t="s">
        <v>197</v>
      </c>
      <c r="C1165" s="334" t="s">
        <v>81</v>
      </c>
      <c r="D1165" s="334" t="s">
        <v>752</v>
      </c>
      <c r="E1165" s="334"/>
      <c r="F1165" s="337">
        <f t="shared" si="101"/>
        <v>0</v>
      </c>
      <c r="G1165" s="337">
        <f t="shared" si="101"/>
        <v>0</v>
      </c>
      <c r="H1165" s="114" t="e">
        <f t="shared" si="100"/>
        <v>#DIV/0!</v>
      </c>
      <c r="I1165" s="132"/>
      <c r="J1165" s="132"/>
      <c r="K1165" s="132"/>
    </row>
    <row r="1166" spans="1:11" s="75" customFormat="1" ht="31.5" hidden="1" customHeight="1" x14ac:dyDescent="0.25">
      <c r="A1166" s="335" t="s">
        <v>149</v>
      </c>
      <c r="B1166" s="334" t="s">
        <v>197</v>
      </c>
      <c r="C1166" s="334" t="s">
        <v>81</v>
      </c>
      <c r="D1166" s="334" t="s">
        <v>752</v>
      </c>
      <c r="E1166" s="334" t="s">
        <v>150</v>
      </c>
      <c r="F1166" s="337">
        <f t="shared" si="101"/>
        <v>0</v>
      </c>
      <c r="G1166" s="337">
        <f t="shared" si="101"/>
        <v>0</v>
      </c>
      <c r="H1166" s="114" t="e">
        <f t="shared" si="100"/>
        <v>#DIV/0!</v>
      </c>
      <c r="I1166" s="132"/>
      <c r="J1166" s="132"/>
      <c r="K1166" s="132"/>
    </row>
    <row r="1167" spans="1:11" s="75" customFormat="1" ht="15.75" hidden="1" customHeight="1" x14ac:dyDescent="0.25">
      <c r="A1167" s="335" t="s">
        <v>151</v>
      </c>
      <c r="B1167" s="334" t="s">
        <v>197</v>
      </c>
      <c r="C1167" s="334" t="s">
        <v>81</v>
      </c>
      <c r="D1167" s="334" t="s">
        <v>752</v>
      </c>
      <c r="E1167" s="334" t="s">
        <v>152</v>
      </c>
      <c r="F1167" s="337">
        <f>'Пр.4 Ведом23'!G1008</f>
        <v>0</v>
      </c>
      <c r="G1167" s="337">
        <f>'Пр.4 Ведом23'!H1008</f>
        <v>0</v>
      </c>
      <c r="H1167" s="114" t="e">
        <f t="shared" si="100"/>
        <v>#DIV/0!</v>
      </c>
      <c r="I1167" s="132"/>
      <c r="J1167" s="132"/>
      <c r="K1167" s="132"/>
    </row>
    <row r="1168" spans="1:11" s="75" customFormat="1" ht="47.25" x14ac:dyDescent="0.25">
      <c r="A1168" s="130" t="s">
        <v>853</v>
      </c>
      <c r="B1168" s="117" t="s">
        <v>197</v>
      </c>
      <c r="C1168" s="117" t="s">
        <v>81</v>
      </c>
      <c r="D1168" s="117" t="s">
        <v>259</v>
      </c>
      <c r="E1168" s="119"/>
      <c r="F1168" s="338">
        <f t="shared" ref="F1168:G1171" si="102">F1169</f>
        <v>581.70000000000005</v>
      </c>
      <c r="G1168" s="338">
        <f t="shared" si="102"/>
        <v>581.70000000000005</v>
      </c>
      <c r="H1168" s="113">
        <f t="shared" si="100"/>
        <v>100</v>
      </c>
      <c r="I1168" s="132"/>
      <c r="J1168" s="132"/>
      <c r="K1168" s="132"/>
    </row>
    <row r="1169" spans="1:11" s="75" customFormat="1" ht="47.25" x14ac:dyDescent="0.25">
      <c r="A1169" s="130" t="s">
        <v>341</v>
      </c>
      <c r="B1169" s="117" t="s">
        <v>197</v>
      </c>
      <c r="C1169" s="117" t="s">
        <v>81</v>
      </c>
      <c r="D1169" s="117" t="s">
        <v>339</v>
      </c>
      <c r="E1169" s="119"/>
      <c r="F1169" s="338">
        <f t="shared" si="102"/>
        <v>581.70000000000005</v>
      </c>
      <c r="G1169" s="338">
        <f t="shared" si="102"/>
        <v>581.70000000000005</v>
      </c>
      <c r="H1169" s="113">
        <f t="shared" si="100"/>
        <v>100</v>
      </c>
      <c r="I1169" s="132"/>
      <c r="J1169" s="132"/>
      <c r="K1169" s="132"/>
    </row>
    <row r="1170" spans="1:11" s="75" customFormat="1" ht="47.25" x14ac:dyDescent="0.25">
      <c r="A1170" s="26" t="s">
        <v>274</v>
      </c>
      <c r="B1170" s="334" t="s">
        <v>197</v>
      </c>
      <c r="C1170" s="334" t="s">
        <v>81</v>
      </c>
      <c r="D1170" s="334" t="s">
        <v>374</v>
      </c>
      <c r="E1170" s="118"/>
      <c r="F1170" s="337">
        <f t="shared" si="102"/>
        <v>581.70000000000005</v>
      </c>
      <c r="G1170" s="337">
        <f t="shared" si="102"/>
        <v>581.70000000000005</v>
      </c>
      <c r="H1170" s="114">
        <f t="shared" si="100"/>
        <v>100</v>
      </c>
      <c r="I1170" s="132"/>
      <c r="J1170" s="132"/>
      <c r="K1170" s="132"/>
    </row>
    <row r="1171" spans="1:11" s="75" customFormat="1" ht="31.5" x14ac:dyDescent="0.25">
      <c r="A1171" s="19" t="s">
        <v>149</v>
      </c>
      <c r="B1171" s="334" t="s">
        <v>197</v>
      </c>
      <c r="C1171" s="334" t="s">
        <v>81</v>
      </c>
      <c r="D1171" s="334" t="s">
        <v>374</v>
      </c>
      <c r="E1171" s="118" t="s">
        <v>150</v>
      </c>
      <c r="F1171" s="337">
        <f t="shared" si="102"/>
        <v>581.70000000000005</v>
      </c>
      <c r="G1171" s="337">
        <f t="shared" si="102"/>
        <v>581.70000000000005</v>
      </c>
      <c r="H1171" s="114">
        <f t="shared" si="100"/>
        <v>100</v>
      </c>
      <c r="I1171" s="132"/>
      <c r="J1171" s="132"/>
      <c r="K1171" s="132"/>
    </row>
    <row r="1172" spans="1:11" s="75" customFormat="1" ht="15.75" x14ac:dyDescent="0.25">
      <c r="A1172" s="68" t="s">
        <v>151</v>
      </c>
      <c r="B1172" s="334" t="s">
        <v>197</v>
      </c>
      <c r="C1172" s="334" t="s">
        <v>81</v>
      </c>
      <c r="D1172" s="334" t="s">
        <v>374</v>
      </c>
      <c r="E1172" s="118" t="s">
        <v>152</v>
      </c>
      <c r="F1172" s="337">
        <f>'Пр.4 Ведом23'!G1013</f>
        <v>581.70000000000005</v>
      </c>
      <c r="G1172" s="337">
        <f>'Пр.4 Ведом23'!H1013</f>
        <v>581.70000000000005</v>
      </c>
      <c r="H1172" s="114">
        <f t="shared" si="100"/>
        <v>100</v>
      </c>
      <c r="I1172" s="132"/>
      <c r="J1172" s="132"/>
      <c r="K1172" s="132"/>
    </row>
    <row r="1173" spans="1:11" s="332" customFormat="1" ht="63" x14ac:dyDescent="0.25">
      <c r="A1173" s="130" t="s">
        <v>901</v>
      </c>
      <c r="B1173" s="7" t="s">
        <v>197</v>
      </c>
      <c r="C1173" s="7" t="s">
        <v>81</v>
      </c>
      <c r="D1173" s="74" t="s">
        <v>292</v>
      </c>
      <c r="E1173" s="7"/>
      <c r="F1173" s="338">
        <f t="shared" ref="F1173:G1176" si="103">F1174</f>
        <v>48.4</v>
      </c>
      <c r="G1173" s="338">
        <f t="shared" si="103"/>
        <v>48.4</v>
      </c>
      <c r="H1173" s="113">
        <f t="shared" si="100"/>
        <v>100</v>
      </c>
      <c r="I1173" s="333"/>
      <c r="J1173" s="333"/>
      <c r="K1173" s="333"/>
    </row>
    <row r="1174" spans="1:11" s="332" customFormat="1" ht="31.5" x14ac:dyDescent="0.25">
      <c r="A1174" s="30" t="s">
        <v>319</v>
      </c>
      <c r="B1174" s="7" t="s">
        <v>197</v>
      </c>
      <c r="C1174" s="7" t="s">
        <v>81</v>
      </c>
      <c r="D1174" s="74" t="s">
        <v>327</v>
      </c>
      <c r="E1174" s="7"/>
      <c r="F1174" s="338">
        <f t="shared" si="103"/>
        <v>48.4</v>
      </c>
      <c r="G1174" s="338">
        <f t="shared" si="103"/>
        <v>48.4</v>
      </c>
      <c r="H1174" s="113">
        <f t="shared" si="100"/>
        <v>100</v>
      </c>
      <c r="I1174" s="333"/>
      <c r="J1174" s="333"/>
      <c r="K1174" s="333"/>
    </row>
    <row r="1175" spans="1:11" s="332" customFormat="1" ht="31.5" x14ac:dyDescent="0.25">
      <c r="A1175" s="26" t="s">
        <v>1108</v>
      </c>
      <c r="B1175" s="8" t="s">
        <v>197</v>
      </c>
      <c r="C1175" s="8" t="s">
        <v>81</v>
      </c>
      <c r="D1175" s="358" t="s">
        <v>1109</v>
      </c>
      <c r="E1175" s="8"/>
      <c r="F1175" s="337">
        <f t="shared" si="103"/>
        <v>48.4</v>
      </c>
      <c r="G1175" s="337">
        <f t="shared" si="103"/>
        <v>48.4</v>
      </c>
      <c r="H1175" s="114">
        <f t="shared" si="100"/>
        <v>100</v>
      </c>
      <c r="I1175" s="333"/>
      <c r="J1175" s="333"/>
      <c r="K1175" s="333"/>
    </row>
    <row r="1176" spans="1:11" s="332" customFormat="1" ht="31.5" x14ac:dyDescent="0.25">
      <c r="A1176" s="19" t="s">
        <v>149</v>
      </c>
      <c r="B1176" s="8" t="s">
        <v>197</v>
      </c>
      <c r="C1176" s="8" t="s">
        <v>81</v>
      </c>
      <c r="D1176" s="358" t="s">
        <v>1109</v>
      </c>
      <c r="E1176" s="8" t="s">
        <v>150</v>
      </c>
      <c r="F1176" s="337">
        <f t="shared" si="103"/>
        <v>48.4</v>
      </c>
      <c r="G1176" s="337">
        <f t="shared" si="103"/>
        <v>48.4</v>
      </c>
      <c r="H1176" s="114">
        <f t="shared" si="100"/>
        <v>100</v>
      </c>
      <c r="I1176" s="333"/>
      <c r="J1176" s="333"/>
      <c r="K1176" s="333"/>
    </row>
    <row r="1177" spans="1:11" s="332" customFormat="1" ht="15.75" x14ac:dyDescent="0.25">
      <c r="A1177" s="68" t="s">
        <v>151</v>
      </c>
      <c r="B1177" s="8" t="s">
        <v>197</v>
      </c>
      <c r="C1177" s="8" t="s">
        <v>81</v>
      </c>
      <c r="D1177" s="358" t="s">
        <v>1109</v>
      </c>
      <c r="E1177" s="8" t="s">
        <v>152</v>
      </c>
      <c r="F1177" s="337">
        <f>'Пр.4 Ведом23'!G1018</f>
        <v>48.4</v>
      </c>
      <c r="G1177" s="337">
        <f>'Пр.4 Ведом23'!H1018</f>
        <v>48.4</v>
      </c>
      <c r="H1177" s="114">
        <f t="shared" si="100"/>
        <v>100</v>
      </c>
      <c r="I1177" s="333"/>
      <c r="J1177" s="333"/>
      <c r="K1177" s="333"/>
    </row>
    <row r="1178" spans="1:11" s="131" customFormat="1" ht="15.75" x14ac:dyDescent="0.25">
      <c r="A1178" s="315" t="s">
        <v>997</v>
      </c>
      <c r="B1178" s="117" t="s">
        <v>197</v>
      </c>
      <c r="C1178" s="117" t="s">
        <v>120</v>
      </c>
      <c r="D1178" s="117"/>
      <c r="E1178" s="119"/>
      <c r="F1178" s="338">
        <f>F1179+F1205</f>
        <v>19701.184529999999</v>
      </c>
      <c r="G1178" s="338">
        <f>G1179+G1205</f>
        <v>19661.615949999996</v>
      </c>
      <c r="H1178" s="113">
        <f t="shared" si="100"/>
        <v>99.799156340372591</v>
      </c>
      <c r="I1178" s="214"/>
      <c r="J1178" s="214"/>
      <c r="K1178" s="214"/>
    </row>
    <row r="1179" spans="1:11" s="131" customFormat="1" ht="47.25" x14ac:dyDescent="0.25">
      <c r="A1179" s="116" t="s">
        <v>888</v>
      </c>
      <c r="B1179" s="117" t="s">
        <v>197</v>
      </c>
      <c r="C1179" s="117" t="s">
        <v>120</v>
      </c>
      <c r="D1179" s="117" t="s">
        <v>195</v>
      </c>
      <c r="E1179" s="117"/>
      <c r="F1179" s="338">
        <f>F1180+F1187+F1197+F1201</f>
        <v>19496.58453</v>
      </c>
      <c r="G1179" s="338">
        <f>G1180+G1187+G1197+G1201</f>
        <v>19457.015949999997</v>
      </c>
      <c r="H1179" s="113">
        <f t="shared" si="100"/>
        <v>99.797048657732248</v>
      </c>
      <c r="I1179" s="214"/>
      <c r="J1179" s="214"/>
      <c r="K1179" s="214"/>
    </row>
    <row r="1180" spans="1:11" s="131" customFormat="1" ht="31.5" x14ac:dyDescent="0.25">
      <c r="A1180" s="116" t="s">
        <v>375</v>
      </c>
      <c r="B1180" s="117" t="s">
        <v>197</v>
      </c>
      <c r="C1180" s="117" t="s">
        <v>120</v>
      </c>
      <c r="D1180" s="117" t="s">
        <v>599</v>
      </c>
      <c r="E1180" s="117"/>
      <c r="F1180" s="338">
        <f>F1181+F1184</f>
        <v>18322.338930000002</v>
      </c>
      <c r="G1180" s="338">
        <f>G1181+G1184</f>
        <v>18285.270349999999</v>
      </c>
      <c r="H1180" s="113">
        <f t="shared" si="100"/>
        <v>99.797686419066792</v>
      </c>
      <c r="I1180" s="214"/>
      <c r="J1180" s="214"/>
      <c r="K1180" s="214"/>
    </row>
    <row r="1181" spans="1:11" s="131" customFormat="1" ht="31.5" x14ac:dyDescent="0.25">
      <c r="A1181" s="335" t="s">
        <v>199</v>
      </c>
      <c r="B1181" s="334" t="s">
        <v>197</v>
      </c>
      <c r="C1181" s="334" t="s">
        <v>120</v>
      </c>
      <c r="D1181" s="334" t="s">
        <v>600</v>
      </c>
      <c r="E1181" s="334"/>
      <c r="F1181" s="337">
        <f t="shared" ref="F1181:G1182" si="104">F1182</f>
        <v>18049.358930000002</v>
      </c>
      <c r="G1181" s="337">
        <f t="shared" si="104"/>
        <v>18012.290349999999</v>
      </c>
      <c r="H1181" s="114">
        <f t="shared" si="100"/>
        <v>99.794626611705368</v>
      </c>
      <c r="I1181" s="214"/>
      <c r="J1181" s="214"/>
      <c r="K1181" s="214"/>
    </row>
    <row r="1182" spans="1:11" s="131" customFormat="1" ht="31.5" x14ac:dyDescent="0.25">
      <c r="A1182" s="335" t="s">
        <v>149</v>
      </c>
      <c r="B1182" s="334" t="s">
        <v>197</v>
      </c>
      <c r="C1182" s="334" t="s">
        <v>120</v>
      </c>
      <c r="D1182" s="334" t="s">
        <v>600</v>
      </c>
      <c r="E1182" s="334" t="s">
        <v>150</v>
      </c>
      <c r="F1182" s="337">
        <f t="shared" si="104"/>
        <v>18049.358930000002</v>
      </c>
      <c r="G1182" s="337">
        <f t="shared" si="104"/>
        <v>18012.290349999999</v>
      </c>
      <c r="H1182" s="114">
        <f t="shared" si="100"/>
        <v>99.794626611705368</v>
      </c>
      <c r="I1182" s="214"/>
      <c r="J1182" s="214"/>
      <c r="K1182" s="214"/>
    </row>
    <row r="1183" spans="1:11" s="131" customFormat="1" ht="15.75" x14ac:dyDescent="0.25">
      <c r="A1183" s="335" t="s">
        <v>151</v>
      </c>
      <c r="B1183" s="334" t="s">
        <v>197</v>
      </c>
      <c r="C1183" s="334" t="s">
        <v>120</v>
      </c>
      <c r="D1183" s="334" t="s">
        <v>600</v>
      </c>
      <c r="E1183" s="334" t="s">
        <v>152</v>
      </c>
      <c r="F1183" s="271">
        <f>'Пр.4 Ведом23'!G1024</f>
        <v>18049.358930000002</v>
      </c>
      <c r="G1183" s="271">
        <f>'Пр.4 Ведом23'!H1024</f>
        <v>18012.290349999999</v>
      </c>
      <c r="H1183" s="114">
        <f t="shared" si="100"/>
        <v>99.794626611705368</v>
      </c>
      <c r="I1183" s="214"/>
      <c r="J1183" s="214"/>
      <c r="K1183" s="214"/>
    </row>
    <row r="1184" spans="1:11" s="332" customFormat="1" ht="31.5" x14ac:dyDescent="0.25">
      <c r="A1184" s="335" t="s">
        <v>1118</v>
      </c>
      <c r="B1184" s="334" t="s">
        <v>197</v>
      </c>
      <c r="C1184" s="334" t="s">
        <v>120</v>
      </c>
      <c r="D1184" s="334" t="s">
        <v>1123</v>
      </c>
      <c r="E1184" s="334"/>
      <c r="F1184" s="271">
        <f>F1185</f>
        <v>272.98</v>
      </c>
      <c r="G1184" s="271">
        <f>G1185</f>
        <v>272.98</v>
      </c>
      <c r="H1184" s="114">
        <f t="shared" si="100"/>
        <v>100</v>
      </c>
      <c r="I1184" s="333"/>
      <c r="J1184" s="333"/>
      <c r="K1184" s="333"/>
    </row>
    <row r="1185" spans="1:11" s="332" customFormat="1" ht="31.5" x14ac:dyDescent="0.25">
      <c r="A1185" s="335" t="s">
        <v>149</v>
      </c>
      <c r="B1185" s="334" t="s">
        <v>197</v>
      </c>
      <c r="C1185" s="334" t="s">
        <v>120</v>
      </c>
      <c r="D1185" s="334" t="s">
        <v>1123</v>
      </c>
      <c r="E1185" s="334" t="s">
        <v>150</v>
      </c>
      <c r="F1185" s="271">
        <f>F1186</f>
        <v>272.98</v>
      </c>
      <c r="G1185" s="271">
        <f>G1186</f>
        <v>272.98</v>
      </c>
      <c r="H1185" s="114">
        <f t="shared" si="100"/>
        <v>100</v>
      </c>
      <c r="I1185" s="333"/>
      <c r="J1185" s="333"/>
      <c r="K1185" s="333"/>
    </row>
    <row r="1186" spans="1:11" s="332" customFormat="1" ht="15.75" x14ac:dyDescent="0.25">
      <c r="A1186" s="335" t="s">
        <v>151</v>
      </c>
      <c r="B1186" s="334" t="s">
        <v>197</v>
      </c>
      <c r="C1186" s="334" t="s">
        <v>120</v>
      </c>
      <c r="D1186" s="334" t="s">
        <v>1123</v>
      </c>
      <c r="E1186" s="334" t="s">
        <v>152</v>
      </c>
      <c r="F1186" s="271">
        <f>'Пр.4 Ведом23'!G1027</f>
        <v>272.98</v>
      </c>
      <c r="G1186" s="271">
        <f>'Пр.4 Ведом23'!H1027</f>
        <v>272.98</v>
      </c>
      <c r="H1186" s="114">
        <f t="shared" si="100"/>
        <v>100</v>
      </c>
      <c r="I1186" s="333"/>
      <c r="J1186" s="333"/>
      <c r="K1186" s="333"/>
    </row>
    <row r="1187" spans="1:11" s="131" customFormat="1" ht="31.5" x14ac:dyDescent="0.25">
      <c r="A1187" s="116" t="s">
        <v>379</v>
      </c>
      <c r="B1187" s="117" t="s">
        <v>197</v>
      </c>
      <c r="C1187" s="117" t="s">
        <v>120</v>
      </c>
      <c r="D1187" s="117" t="s">
        <v>601</v>
      </c>
      <c r="E1187" s="117"/>
      <c r="F1187" s="273">
        <f>F1191+F1194</f>
        <v>95.35</v>
      </c>
      <c r="G1187" s="273">
        <f>G1191+G1194</f>
        <v>95.35</v>
      </c>
      <c r="H1187" s="113">
        <f t="shared" si="100"/>
        <v>100</v>
      </c>
      <c r="I1187" s="214"/>
      <c r="J1187" s="214"/>
      <c r="K1187" s="214"/>
    </row>
    <row r="1188" spans="1:11" s="131" customFormat="1" ht="31.5" hidden="1" customHeight="1" x14ac:dyDescent="0.25">
      <c r="A1188" s="335" t="s">
        <v>153</v>
      </c>
      <c r="B1188" s="334" t="s">
        <v>197</v>
      </c>
      <c r="C1188" s="334" t="s">
        <v>81</v>
      </c>
      <c r="D1188" s="334" t="s">
        <v>635</v>
      </c>
      <c r="E1188" s="334"/>
      <c r="F1188" s="337">
        <f>F1189</f>
        <v>0</v>
      </c>
      <c r="G1188" s="337">
        <f>G1189</f>
        <v>0</v>
      </c>
      <c r="H1188" s="114" t="e">
        <f t="shared" si="100"/>
        <v>#DIV/0!</v>
      </c>
      <c r="I1188" s="214"/>
      <c r="J1188" s="214"/>
      <c r="K1188" s="214"/>
    </row>
    <row r="1189" spans="1:11" s="131" customFormat="1" ht="31.5" hidden="1" customHeight="1" x14ac:dyDescent="0.25">
      <c r="A1189" s="335" t="s">
        <v>149</v>
      </c>
      <c r="B1189" s="334" t="s">
        <v>197</v>
      </c>
      <c r="C1189" s="334" t="s">
        <v>81</v>
      </c>
      <c r="D1189" s="334" t="s">
        <v>635</v>
      </c>
      <c r="E1189" s="334" t="s">
        <v>150</v>
      </c>
      <c r="F1189" s="337">
        <f>F1190</f>
        <v>0</v>
      </c>
      <c r="G1189" s="337">
        <f>G1190</f>
        <v>0</v>
      </c>
      <c r="H1189" s="114" t="e">
        <f t="shared" si="100"/>
        <v>#DIV/0!</v>
      </c>
      <c r="I1189" s="214"/>
      <c r="J1189" s="214"/>
      <c r="K1189" s="214"/>
    </row>
    <row r="1190" spans="1:11" s="131" customFormat="1" ht="15.75" hidden="1" customHeight="1" x14ac:dyDescent="0.25">
      <c r="A1190" s="335" t="s">
        <v>151</v>
      </c>
      <c r="B1190" s="334" t="s">
        <v>197</v>
      </c>
      <c r="C1190" s="334" t="s">
        <v>81</v>
      </c>
      <c r="D1190" s="334" t="s">
        <v>635</v>
      </c>
      <c r="E1190" s="334" t="s">
        <v>152</v>
      </c>
      <c r="F1190" s="337"/>
      <c r="G1190" s="337"/>
      <c r="H1190" s="114" t="e">
        <f t="shared" si="100"/>
        <v>#DIV/0!</v>
      </c>
      <c r="I1190" s="214"/>
      <c r="J1190" s="214"/>
      <c r="K1190" s="214"/>
    </row>
    <row r="1191" spans="1:11" s="131" customFormat="1" ht="31.5" x14ac:dyDescent="0.25">
      <c r="A1191" s="335" t="s">
        <v>855</v>
      </c>
      <c r="B1191" s="334" t="s">
        <v>197</v>
      </c>
      <c r="C1191" s="334" t="s">
        <v>120</v>
      </c>
      <c r="D1191" s="334" t="s">
        <v>636</v>
      </c>
      <c r="E1191" s="334"/>
      <c r="F1191" s="337">
        <f>F1192</f>
        <v>59.35</v>
      </c>
      <c r="G1191" s="337">
        <f>G1192</f>
        <v>59.35</v>
      </c>
      <c r="H1191" s="114">
        <f t="shared" si="100"/>
        <v>100</v>
      </c>
      <c r="I1191" s="214"/>
      <c r="J1191" s="214"/>
      <c r="K1191" s="214"/>
    </row>
    <row r="1192" spans="1:11" s="131" customFormat="1" ht="31.5" x14ac:dyDescent="0.25">
      <c r="A1192" s="335" t="s">
        <v>149</v>
      </c>
      <c r="B1192" s="334" t="s">
        <v>197</v>
      </c>
      <c r="C1192" s="334" t="s">
        <v>120</v>
      </c>
      <c r="D1192" s="334" t="s">
        <v>636</v>
      </c>
      <c r="E1192" s="334" t="s">
        <v>150</v>
      </c>
      <c r="F1192" s="337">
        <f>F1193</f>
        <v>59.35</v>
      </c>
      <c r="G1192" s="337">
        <f>G1193</f>
        <v>59.35</v>
      </c>
      <c r="H1192" s="114">
        <f t="shared" si="100"/>
        <v>100</v>
      </c>
      <c r="I1192" s="214"/>
      <c r="J1192" s="214"/>
      <c r="K1192" s="214"/>
    </row>
    <row r="1193" spans="1:11" s="131" customFormat="1" ht="15.75" x14ac:dyDescent="0.25">
      <c r="A1193" s="335" t="s">
        <v>151</v>
      </c>
      <c r="B1193" s="334" t="s">
        <v>197</v>
      </c>
      <c r="C1193" s="334" t="s">
        <v>120</v>
      </c>
      <c r="D1193" s="334" t="s">
        <v>636</v>
      </c>
      <c r="E1193" s="334" t="s">
        <v>152</v>
      </c>
      <c r="F1193" s="337">
        <f>'Пр.4 Ведом23'!G1034</f>
        <v>59.35</v>
      </c>
      <c r="G1193" s="337">
        <f>'Пр.4 Ведом23'!H1034</f>
        <v>59.35</v>
      </c>
      <c r="H1193" s="114">
        <f t="shared" si="100"/>
        <v>100</v>
      </c>
      <c r="I1193" s="214"/>
      <c r="J1193" s="214"/>
      <c r="K1193" s="214"/>
    </row>
    <row r="1194" spans="1:11" s="131" customFormat="1" ht="31.5" x14ac:dyDescent="0.25">
      <c r="A1194" s="335" t="s">
        <v>154</v>
      </c>
      <c r="B1194" s="334" t="s">
        <v>197</v>
      </c>
      <c r="C1194" s="334" t="s">
        <v>120</v>
      </c>
      <c r="D1194" s="334" t="s">
        <v>602</v>
      </c>
      <c r="E1194" s="334"/>
      <c r="F1194" s="337">
        <f>F1195</f>
        <v>36</v>
      </c>
      <c r="G1194" s="337">
        <f>G1195</f>
        <v>36</v>
      </c>
      <c r="H1194" s="114">
        <f t="shared" si="100"/>
        <v>100</v>
      </c>
      <c r="I1194" s="214"/>
      <c r="J1194" s="214"/>
      <c r="K1194" s="214"/>
    </row>
    <row r="1195" spans="1:11" s="131" customFormat="1" ht="31.5" x14ac:dyDescent="0.25">
      <c r="A1195" s="335" t="s">
        <v>149</v>
      </c>
      <c r="B1195" s="334" t="s">
        <v>197</v>
      </c>
      <c r="C1195" s="334" t="s">
        <v>120</v>
      </c>
      <c r="D1195" s="334" t="s">
        <v>602</v>
      </c>
      <c r="E1195" s="334" t="s">
        <v>150</v>
      </c>
      <c r="F1195" s="337">
        <f>F1196</f>
        <v>36</v>
      </c>
      <c r="G1195" s="337">
        <f>G1196</f>
        <v>36</v>
      </c>
      <c r="H1195" s="114">
        <f t="shared" si="100"/>
        <v>100</v>
      </c>
      <c r="I1195" s="214"/>
      <c r="J1195" s="214"/>
      <c r="K1195" s="214"/>
    </row>
    <row r="1196" spans="1:11" s="131" customFormat="1" ht="15.75" x14ac:dyDescent="0.25">
      <c r="A1196" s="335" t="s">
        <v>151</v>
      </c>
      <c r="B1196" s="334" t="s">
        <v>197</v>
      </c>
      <c r="C1196" s="334" t="s">
        <v>120</v>
      </c>
      <c r="D1196" s="334" t="s">
        <v>602</v>
      </c>
      <c r="E1196" s="334" t="s">
        <v>152</v>
      </c>
      <c r="F1196" s="337">
        <f>'Пр.4 Ведом23'!G1037</f>
        <v>36</v>
      </c>
      <c r="G1196" s="337">
        <f>'Пр.4 Ведом23'!H1037</f>
        <v>36</v>
      </c>
      <c r="H1196" s="114">
        <f t="shared" si="100"/>
        <v>100</v>
      </c>
      <c r="I1196" s="214"/>
      <c r="J1196" s="214"/>
      <c r="K1196" s="214"/>
    </row>
    <row r="1197" spans="1:11" s="131" customFormat="1" ht="31.5" x14ac:dyDescent="0.25">
      <c r="A1197" s="116" t="s">
        <v>380</v>
      </c>
      <c r="B1197" s="117" t="s">
        <v>197</v>
      </c>
      <c r="C1197" s="117" t="s">
        <v>120</v>
      </c>
      <c r="D1197" s="117" t="s">
        <v>603</v>
      </c>
      <c r="E1197" s="117"/>
      <c r="F1197" s="273">
        <f t="shared" ref="F1197:G1199" si="105">F1198</f>
        <v>367.49559999999997</v>
      </c>
      <c r="G1197" s="273">
        <f t="shared" si="105"/>
        <v>364.99560000000002</v>
      </c>
      <c r="H1197" s="113">
        <f t="shared" si="100"/>
        <v>99.319719746304457</v>
      </c>
      <c r="I1197" s="214"/>
      <c r="J1197" s="214"/>
      <c r="K1197" s="214"/>
    </row>
    <row r="1198" spans="1:11" s="131" customFormat="1" ht="31.5" x14ac:dyDescent="0.25">
      <c r="A1198" s="26" t="s">
        <v>261</v>
      </c>
      <c r="B1198" s="334" t="s">
        <v>197</v>
      </c>
      <c r="C1198" s="334" t="s">
        <v>120</v>
      </c>
      <c r="D1198" s="334" t="s">
        <v>604</v>
      </c>
      <c r="E1198" s="334"/>
      <c r="F1198" s="337">
        <f t="shared" si="105"/>
        <v>367.49559999999997</v>
      </c>
      <c r="G1198" s="337">
        <f t="shared" si="105"/>
        <v>364.99560000000002</v>
      </c>
      <c r="H1198" s="114">
        <f t="shared" si="100"/>
        <v>99.319719746304457</v>
      </c>
      <c r="I1198" s="214"/>
      <c r="J1198" s="214"/>
      <c r="K1198" s="214"/>
    </row>
    <row r="1199" spans="1:11" s="131" customFormat="1" ht="31.5" x14ac:dyDescent="0.25">
      <c r="A1199" s="20" t="s">
        <v>149</v>
      </c>
      <c r="B1199" s="334" t="s">
        <v>197</v>
      </c>
      <c r="C1199" s="334" t="s">
        <v>120</v>
      </c>
      <c r="D1199" s="334" t="s">
        <v>604</v>
      </c>
      <c r="E1199" s="334" t="s">
        <v>150</v>
      </c>
      <c r="F1199" s="337">
        <f t="shared" si="105"/>
        <v>367.49559999999997</v>
      </c>
      <c r="G1199" s="337">
        <f t="shared" si="105"/>
        <v>364.99560000000002</v>
      </c>
      <c r="H1199" s="114">
        <f t="shared" si="100"/>
        <v>99.319719746304457</v>
      </c>
      <c r="I1199" s="214"/>
      <c r="J1199" s="214"/>
      <c r="K1199" s="214"/>
    </row>
    <row r="1200" spans="1:11" s="131" customFormat="1" ht="15.75" x14ac:dyDescent="0.25">
      <c r="A1200" s="20" t="s">
        <v>151</v>
      </c>
      <c r="B1200" s="334" t="s">
        <v>197</v>
      </c>
      <c r="C1200" s="334" t="s">
        <v>120</v>
      </c>
      <c r="D1200" s="334" t="s">
        <v>604</v>
      </c>
      <c r="E1200" s="334" t="s">
        <v>152</v>
      </c>
      <c r="F1200" s="337">
        <f>'Пр.4 Ведом23'!G1041</f>
        <v>367.49559999999997</v>
      </c>
      <c r="G1200" s="337">
        <f>'Пр.4 Ведом23'!H1041</f>
        <v>364.99560000000002</v>
      </c>
      <c r="H1200" s="114">
        <f t="shared" si="100"/>
        <v>99.319719746304457</v>
      </c>
      <c r="I1200" s="214"/>
      <c r="J1200" s="214"/>
      <c r="K1200" s="214"/>
    </row>
    <row r="1201" spans="1:11" s="131" customFormat="1" ht="47.25" x14ac:dyDescent="0.25">
      <c r="A1201" s="116" t="s">
        <v>349</v>
      </c>
      <c r="B1201" s="117" t="s">
        <v>197</v>
      </c>
      <c r="C1201" s="117" t="s">
        <v>120</v>
      </c>
      <c r="D1201" s="117" t="s">
        <v>605</v>
      </c>
      <c r="E1201" s="117"/>
      <c r="F1201" s="338">
        <f t="shared" ref="F1201:G1203" si="106">F1202</f>
        <v>711.4</v>
      </c>
      <c r="G1201" s="338">
        <f t="shared" si="106"/>
        <v>711.4</v>
      </c>
      <c r="H1201" s="113">
        <f t="shared" si="100"/>
        <v>100</v>
      </c>
      <c r="I1201" s="214"/>
      <c r="J1201" s="214"/>
      <c r="K1201" s="214"/>
    </row>
    <row r="1202" spans="1:11" s="131" customFormat="1" ht="47.25" x14ac:dyDescent="0.25">
      <c r="A1202" s="335" t="s">
        <v>852</v>
      </c>
      <c r="B1202" s="334" t="s">
        <v>197</v>
      </c>
      <c r="C1202" s="334" t="s">
        <v>120</v>
      </c>
      <c r="D1202" s="334" t="s">
        <v>859</v>
      </c>
      <c r="E1202" s="334"/>
      <c r="F1202" s="337">
        <f t="shared" si="106"/>
        <v>711.4</v>
      </c>
      <c r="G1202" s="337">
        <f t="shared" si="106"/>
        <v>711.4</v>
      </c>
      <c r="H1202" s="114">
        <f t="shared" si="100"/>
        <v>100</v>
      </c>
      <c r="I1202" s="214"/>
      <c r="J1202" s="214"/>
      <c r="K1202" s="214"/>
    </row>
    <row r="1203" spans="1:11" s="131" customFormat="1" ht="31.5" x14ac:dyDescent="0.25">
      <c r="A1203" s="335" t="s">
        <v>149</v>
      </c>
      <c r="B1203" s="334" t="s">
        <v>197</v>
      </c>
      <c r="C1203" s="334" t="s">
        <v>120</v>
      </c>
      <c r="D1203" s="334" t="s">
        <v>859</v>
      </c>
      <c r="E1203" s="334" t="s">
        <v>150</v>
      </c>
      <c r="F1203" s="337">
        <f t="shared" si="106"/>
        <v>711.4</v>
      </c>
      <c r="G1203" s="337">
        <f t="shared" si="106"/>
        <v>711.4</v>
      </c>
      <c r="H1203" s="114">
        <f t="shared" si="100"/>
        <v>100</v>
      </c>
      <c r="I1203" s="214"/>
      <c r="J1203" s="214"/>
      <c r="K1203" s="214"/>
    </row>
    <row r="1204" spans="1:11" s="131" customFormat="1" ht="15.75" x14ac:dyDescent="0.25">
      <c r="A1204" s="335" t="s">
        <v>151</v>
      </c>
      <c r="B1204" s="334" t="s">
        <v>197</v>
      </c>
      <c r="C1204" s="334" t="s">
        <v>120</v>
      </c>
      <c r="D1204" s="334" t="s">
        <v>859</v>
      </c>
      <c r="E1204" s="334" t="s">
        <v>152</v>
      </c>
      <c r="F1204" s="337">
        <f>'Пр.4 Ведом23'!G1045</f>
        <v>711.4</v>
      </c>
      <c r="G1204" s="337">
        <f>'Пр.4 Ведом23'!H1045</f>
        <v>711.4</v>
      </c>
      <c r="H1204" s="114">
        <f t="shared" si="100"/>
        <v>100</v>
      </c>
      <c r="I1204" s="214"/>
      <c r="J1204" s="214"/>
      <c r="K1204" s="214"/>
    </row>
    <row r="1205" spans="1:11" s="131" customFormat="1" ht="47.25" x14ac:dyDescent="0.25">
      <c r="A1205" s="130" t="s">
        <v>853</v>
      </c>
      <c r="B1205" s="117" t="s">
        <v>197</v>
      </c>
      <c r="C1205" s="117" t="s">
        <v>120</v>
      </c>
      <c r="D1205" s="117" t="s">
        <v>259</v>
      </c>
      <c r="E1205" s="119"/>
      <c r="F1205" s="338">
        <f t="shared" ref="F1205:G1208" si="107">F1206</f>
        <v>204.6</v>
      </c>
      <c r="G1205" s="338">
        <f t="shared" si="107"/>
        <v>204.6</v>
      </c>
      <c r="H1205" s="113">
        <f t="shared" si="100"/>
        <v>100</v>
      </c>
      <c r="I1205" s="214"/>
      <c r="J1205" s="214"/>
      <c r="K1205" s="214"/>
    </row>
    <row r="1206" spans="1:11" s="131" customFormat="1" ht="47.25" x14ac:dyDescent="0.25">
      <c r="A1206" s="130" t="s">
        <v>341</v>
      </c>
      <c r="B1206" s="117" t="s">
        <v>197</v>
      </c>
      <c r="C1206" s="117" t="s">
        <v>120</v>
      </c>
      <c r="D1206" s="117" t="s">
        <v>339</v>
      </c>
      <c r="E1206" s="119"/>
      <c r="F1206" s="338">
        <f t="shared" si="107"/>
        <v>204.6</v>
      </c>
      <c r="G1206" s="338">
        <f t="shared" si="107"/>
        <v>204.6</v>
      </c>
      <c r="H1206" s="113">
        <f t="shared" si="100"/>
        <v>100</v>
      </c>
      <c r="I1206" s="214"/>
      <c r="J1206" s="214"/>
      <c r="K1206" s="214"/>
    </row>
    <row r="1207" spans="1:11" s="131" customFormat="1" ht="47.25" x14ac:dyDescent="0.25">
      <c r="A1207" s="26" t="s">
        <v>274</v>
      </c>
      <c r="B1207" s="334" t="s">
        <v>197</v>
      </c>
      <c r="C1207" s="334" t="s">
        <v>120</v>
      </c>
      <c r="D1207" s="334" t="s">
        <v>374</v>
      </c>
      <c r="E1207" s="118"/>
      <c r="F1207" s="337">
        <f t="shared" si="107"/>
        <v>204.6</v>
      </c>
      <c r="G1207" s="337">
        <f t="shared" si="107"/>
        <v>204.6</v>
      </c>
      <c r="H1207" s="114">
        <f t="shared" si="100"/>
        <v>100</v>
      </c>
      <c r="I1207" s="214"/>
      <c r="J1207" s="214"/>
      <c r="K1207" s="214"/>
    </row>
    <row r="1208" spans="1:11" s="131" customFormat="1" ht="31.5" x14ac:dyDescent="0.25">
      <c r="A1208" s="19" t="s">
        <v>149</v>
      </c>
      <c r="B1208" s="334" t="s">
        <v>197</v>
      </c>
      <c r="C1208" s="334" t="s">
        <v>120</v>
      </c>
      <c r="D1208" s="334" t="s">
        <v>374</v>
      </c>
      <c r="E1208" s="118" t="s">
        <v>150</v>
      </c>
      <c r="F1208" s="337">
        <f t="shared" si="107"/>
        <v>204.6</v>
      </c>
      <c r="G1208" s="337">
        <f t="shared" si="107"/>
        <v>204.6</v>
      </c>
      <c r="H1208" s="114">
        <f t="shared" si="100"/>
        <v>100</v>
      </c>
      <c r="I1208" s="214"/>
      <c r="J1208" s="214"/>
      <c r="K1208" s="214"/>
    </row>
    <row r="1209" spans="1:11" s="131" customFormat="1" ht="15.75" x14ac:dyDescent="0.25">
      <c r="A1209" s="68" t="s">
        <v>151</v>
      </c>
      <c r="B1209" s="334" t="s">
        <v>197</v>
      </c>
      <c r="C1209" s="334" t="s">
        <v>120</v>
      </c>
      <c r="D1209" s="334" t="s">
        <v>374</v>
      </c>
      <c r="E1209" s="118" t="s">
        <v>152</v>
      </c>
      <c r="F1209" s="337">
        <f>'Пр.4 Ведом23'!G1050</f>
        <v>204.6</v>
      </c>
      <c r="G1209" s="337">
        <f>'Пр.4 Ведом23'!H1050</f>
        <v>204.6</v>
      </c>
      <c r="H1209" s="114">
        <f t="shared" si="100"/>
        <v>100</v>
      </c>
      <c r="I1209" s="214"/>
      <c r="J1209" s="214"/>
      <c r="K1209" s="214"/>
    </row>
    <row r="1210" spans="1:11" s="75" customFormat="1" ht="31.5" x14ac:dyDescent="0.25">
      <c r="A1210" s="116" t="s">
        <v>200</v>
      </c>
      <c r="B1210" s="117" t="s">
        <v>197</v>
      </c>
      <c r="C1210" s="117" t="s">
        <v>129</v>
      </c>
      <c r="D1210" s="117"/>
      <c r="E1210" s="117"/>
      <c r="F1210" s="338">
        <f>F1211+F1227+F1245</f>
        <v>19479.120859999999</v>
      </c>
      <c r="G1210" s="338">
        <f>G1211+G1227+G1245</f>
        <v>19473.470289999997</v>
      </c>
      <c r="H1210" s="113">
        <f t="shared" si="100"/>
        <v>99.970991657987994</v>
      </c>
      <c r="I1210" s="132"/>
      <c r="J1210" s="132"/>
      <c r="K1210" s="132"/>
    </row>
    <row r="1211" spans="1:11" s="75" customFormat="1" ht="31.5" x14ac:dyDescent="0.25">
      <c r="A1211" s="116" t="s">
        <v>362</v>
      </c>
      <c r="B1211" s="117" t="s">
        <v>197</v>
      </c>
      <c r="C1211" s="117" t="s">
        <v>129</v>
      </c>
      <c r="D1211" s="117" t="s">
        <v>321</v>
      </c>
      <c r="E1211" s="117"/>
      <c r="F1211" s="338">
        <f>F1212</f>
        <v>7579.4284999999991</v>
      </c>
      <c r="G1211" s="338">
        <f>G1212</f>
        <v>7576.1391999999996</v>
      </c>
      <c r="H1211" s="113">
        <f t="shared" si="100"/>
        <v>99.956602268891388</v>
      </c>
      <c r="I1211" s="132"/>
      <c r="J1211" s="132"/>
      <c r="K1211" s="132"/>
    </row>
    <row r="1212" spans="1:11" s="75" customFormat="1" ht="15.75" x14ac:dyDescent="0.25">
      <c r="A1212" s="116" t="s">
        <v>363</v>
      </c>
      <c r="B1212" s="117" t="s">
        <v>197</v>
      </c>
      <c r="C1212" s="117" t="s">
        <v>129</v>
      </c>
      <c r="D1212" s="117" t="s">
        <v>322</v>
      </c>
      <c r="E1212" s="117"/>
      <c r="F1212" s="338">
        <f>F1213+F1218+F1221+F1224</f>
        <v>7579.4284999999991</v>
      </c>
      <c r="G1212" s="338">
        <f>G1213+G1218+G1221+G1224</f>
        <v>7576.1391999999996</v>
      </c>
      <c r="H1212" s="113">
        <f t="shared" si="100"/>
        <v>99.956602268891388</v>
      </c>
      <c r="I1212" s="132"/>
      <c r="J1212" s="132"/>
      <c r="K1212" s="132"/>
    </row>
    <row r="1213" spans="1:11" s="131" customFormat="1" ht="31.5" x14ac:dyDescent="0.25">
      <c r="A1213" s="335" t="s">
        <v>346</v>
      </c>
      <c r="B1213" s="334" t="s">
        <v>197</v>
      </c>
      <c r="C1213" s="334" t="s">
        <v>129</v>
      </c>
      <c r="D1213" s="334" t="s">
        <v>323</v>
      </c>
      <c r="E1213" s="334"/>
      <c r="F1213" s="337">
        <f>F1214+F1216</f>
        <v>7470.2149199999994</v>
      </c>
      <c r="G1213" s="337">
        <f>G1214+G1216</f>
        <v>7466.92562</v>
      </c>
      <c r="H1213" s="114">
        <f t="shared" si="100"/>
        <v>99.955967799652015</v>
      </c>
      <c r="I1213" s="132"/>
      <c r="J1213" s="132"/>
      <c r="K1213" s="132"/>
    </row>
    <row r="1214" spans="1:11" s="131" customFormat="1" ht="78.75" x14ac:dyDescent="0.25">
      <c r="A1214" s="335" t="s">
        <v>84</v>
      </c>
      <c r="B1214" s="334" t="s">
        <v>197</v>
      </c>
      <c r="C1214" s="334" t="s">
        <v>129</v>
      </c>
      <c r="D1214" s="334" t="s">
        <v>323</v>
      </c>
      <c r="E1214" s="334" t="s">
        <v>85</v>
      </c>
      <c r="F1214" s="337">
        <f>F1215</f>
        <v>7210.1149199999991</v>
      </c>
      <c r="G1214" s="337">
        <f>G1215</f>
        <v>7210.11492</v>
      </c>
      <c r="H1214" s="114">
        <f t="shared" si="100"/>
        <v>100.00000000000003</v>
      </c>
      <c r="I1214" s="132"/>
      <c r="J1214" s="132"/>
      <c r="K1214" s="132"/>
    </row>
    <row r="1215" spans="1:11" s="131" customFormat="1" ht="31.5" x14ac:dyDescent="0.25">
      <c r="A1215" s="335" t="s">
        <v>86</v>
      </c>
      <c r="B1215" s="334" t="s">
        <v>197</v>
      </c>
      <c r="C1215" s="334" t="s">
        <v>129</v>
      </c>
      <c r="D1215" s="334" t="s">
        <v>323</v>
      </c>
      <c r="E1215" s="334" t="s">
        <v>87</v>
      </c>
      <c r="F1215" s="271">
        <f>'Пр.4 Ведом23'!G1056</f>
        <v>7210.1149199999991</v>
      </c>
      <c r="G1215" s="271">
        <f>'Пр.4 Ведом23'!H1056</f>
        <v>7210.11492</v>
      </c>
      <c r="H1215" s="114">
        <f t="shared" si="100"/>
        <v>100.00000000000003</v>
      </c>
      <c r="I1215" s="132"/>
      <c r="J1215" s="132"/>
      <c r="K1215" s="132"/>
    </row>
    <row r="1216" spans="1:11" s="112" customFormat="1" ht="31.5" x14ac:dyDescent="0.25">
      <c r="A1216" s="335" t="s">
        <v>88</v>
      </c>
      <c r="B1216" s="334" t="s">
        <v>197</v>
      </c>
      <c r="C1216" s="334" t="s">
        <v>129</v>
      </c>
      <c r="D1216" s="334" t="s">
        <v>323</v>
      </c>
      <c r="E1216" s="334" t="s">
        <v>89</v>
      </c>
      <c r="F1216" s="271">
        <f>F1217</f>
        <v>260.10000000000002</v>
      </c>
      <c r="G1216" s="271">
        <f>G1217</f>
        <v>256.8107</v>
      </c>
      <c r="H1216" s="114">
        <f t="shared" si="100"/>
        <v>98.735371011149553</v>
      </c>
      <c r="I1216" s="132"/>
      <c r="J1216" s="132"/>
      <c r="K1216" s="132"/>
    </row>
    <row r="1217" spans="1:11" s="112" customFormat="1" ht="31.5" customHeight="1" x14ac:dyDescent="0.25">
      <c r="A1217" s="335" t="s">
        <v>90</v>
      </c>
      <c r="B1217" s="334" t="s">
        <v>197</v>
      </c>
      <c r="C1217" s="334" t="s">
        <v>129</v>
      </c>
      <c r="D1217" s="334" t="s">
        <v>323</v>
      </c>
      <c r="E1217" s="334" t="s">
        <v>91</v>
      </c>
      <c r="F1217" s="271">
        <f>'Пр.4 Ведом23'!G1058</f>
        <v>260.10000000000002</v>
      </c>
      <c r="G1217" s="271">
        <f>'Пр.4 Ведом23'!H1058</f>
        <v>256.8107</v>
      </c>
      <c r="H1217" s="114">
        <f t="shared" si="100"/>
        <v>98.735371011149553</v>
      </c>
      <c r="I1217" s="132"/>
      <c r="J1217" s="132"/>
      <c r="K1217" s="132"/>
    </row>
    <row r="1218" spans="1:11" s="112" customFormat="1" ht="47.25" hidden="1" customHeight="1" x14ac:dyDescent="0.25">
      <c r="A1218" s="335" t="s">
        <v>304</v>
      </c>
      <c r="B1218" s="334" t="s">
        <v>197</v>
      </c>
      <c r="C1218" s="334" t="s">
        <v>129</v>
      </c>
      <c r="D1218" s="334" t="s">
        <v>325</v>
      </c>
      <c r="E1218" s="334"/>
      <c r="F1218" s="337">
        <f>F1219</f>
        <v>0</v>
      </c>
      <c r="G1218" s="337">
        <f>G1219</f>
        <v>0</v>
      </c>
      <c r="H1218" s="114" t="e">
        <f t="shared" si="100"/>
        <v>#DIV/0!</v>
      </c>
      <c r="I1218" s="132"/>
      <c r="J1218" s="132"/>
      <c r="K1218" s="132"/>
    </row>
    <row r="1219" spans="1:11" s="112" customFormat="1" ht="78.75" hidden="1" customHeight="1" x14ac:dyDescent="0.25">
      <c r="A1219" s="335" t="s">
        <v>84</v>
      </c>
      <c r="B1219" s="334" t="s">
        <v>197</v>
      </c>
      <c r="C1219" s="334" t="s">
        <v>129</v>
      </c>
      <c r="D1219" s="334" t="s">
        <v>325</v>
      </c>
      <c r="E1219" s="334" t="s">
        <v>85</v>
      </c>
      <c r="F1219" s="337">
        <f>F1220</f>
        <v>0</v>
      </c>
      <c r="G1219" s="337">
        <f>G1220</f>
        <v>0</v>
      </c>
      <c r="H1219" s="114" t="e">
        <f t="shared" si="100"/>
        <v>#DIV/0!</v>
      </c>
      <c r="I1219" s="132"/>
      <c r="J1219" s="132"/>
      <c r="K1219" s="132"/>
    </row>
    <row r="1220" spans="1:11" s="131" customFormat="1" ht="31.5" hidden="1" customHeight="1" x14ac:dyDescent="0.25">
      <c r="A1220" s="335" t="s">
        <v>86</v>
      </c>
      <c r="B1220" s="334" t="s">
        <v>197</v>
      </c>
      <c r="C1220" s="334" t="s">
        <v>129</v>
      </c>
      <c r="D1220" s="334" t="s">
        <v>325</v>
      </c>
      <c r="E1220" s="334" t="s">
        <v>87</v>
      </c>
      <c r="F1220" s="337">
        <f>'Пр.4 Ведом23'!G1061</f>
        <v>0</v>
      </c>
      <c r="G1220" s="337">
        <f>'Пр.4 Ведом23'!H1061</f>
        <v>0</v>
      </c>
      <c r="H1220" s="114" t="e">
        <f t="shared" si="100"/>
        <v>#DIV/0!</v>
      </c>
      <c r="I1220" s="132"/>
      <c r="J1220" s="132"/>
      <c r="K1220" s="132"/>
    </row>
    <row r="1221" spans="1:11" s="332" customFormat="1" ht="31.5" x14ac:dyDescent="0.25">
      <c r="A1221" s="335" t="s">
        <v>1085</v>
      </c>
      <c r="B1221" s="334" t="s">
        <v>197</v>
      </c>
      <c r="C1221" s="334" t="s">
        <v>129</v>
      </c>
      <c r="D1221" s="334" t="s">
        <v>1081</v>
      </c>
      <c r="E1221" s="334"/>
      <c r="F1221" s="337">
        <f>F1222</f>
        <v>78.12</v>
      </c>
      <c r="G1221" s="337">
        <f>G1222</f>
        <v>78.12</v>
      </c>
      <c r="H1221" s="114">
        <f t="shared" si="100"/>
        <v>100</v>
      </c>
      <c r="I1221" s="333"/>
      <c r="J1221" s="333"/>
      <c r="K1221" s="333"/>
    </row>
    <row r="1222" spans="1:11" s="332" customFormat="1" ht="78.75" x14ac:dyDescent="0.25">
      <c r="A1222" s="335" t="s">
        <v>84</v>
      </c>
      <c r="B1222" s="334" t="s">
        <v>197</v>
      </c>
      <c r="C1222" s="334" t="s">
        <v>129</v>
      </c>
      <c r="D1222" s="334" t="s">
        <v>1081</v>
      </c>
      <c r="E1222" s="334" t="s">
        <v>85</v>
      </c>
      <c r="F1222" s="337">
        <f>F1223</f>
        <v>78.12</v>
      </c>
      <c r="G1222" s="337">
        <f>G1223</f>
        <v>78.12</v>
      </c>
      <c r="H1222" s="114">
        <f t="shared" si="100"/>
        <v>100</v>
      </c>
      <c r="I1222" s="333"/>
      <c r="J1222" s="333"/>
      <c r="K1222" s="333"/>
    </row>
    <row r="1223" spans="1:11" s="332" customFormat="1" ht="31.5" x14ac:dyDescent="0.25">
      <c r="A1223" s="335" t="s">
        <v>86</v>
      </c>
      <c r="B1223" s="334" t="s">
        <v>197</v>
      </c>
      <c r="C1223" s="334" t="s">
        <v>129</v>
      </c>
      <c r="D1223" s="334" t="s">
        <v>1081</v>
      </c>
      <c r="E1223" s="334" t="s">
        <v>87</v>
      </c>
      <c r="F1223" s="337">
        <f>'Пр.4 Ведом23'!G1064</f>
        <v>78.12</v>
      </c>
      <c r="G1223" s="337">
        <f>'Пр.4 Ведом23'!H1064</f>
        <v>78.12</v>
      </c>
      <c r="H1223" s="114">
        <f t="shared" si="100"/>
        <v>100</v>
      </c>
      <c r="I1223" s="333"/>
      <c r="J1223" s="333"/>
      <c r="K1223" s="333"/>
    </row>
    <row r="1224" spans="1:11" s="332" customFormat="1" ht="51.75" customHeight="1" x14ac:dyDescent="0.25">
      <c r="A1224" s="335" t="s">
        <v>1107</v>
      </c>
      <c r="B1224" s="334" t="s">
        <v>197</v>
      </c>
      <c r="C1224" s="334" t="s">
        <v>129</v>
      </c>
      <c r="D1224" s="334" t="s">
        <v>1106</v>
      </c>
      <c r="E1224" s="334"/>
      <c r="F1224" s="337">
        <f>F1225</f>
        <v>31.093579999999999</v>
      </c>
      <c r="G1224" s="337">
        <f>G1225</f>
        <v>31.093579999999999</v>
      </c>
      <c r="H1224" s="114">
        <f t="shared" si="100"/>
        <v>100</v>
      </c>
      <c r="I1224" s="333"/>
      <c r="J1224" s="333"/>
      <c r="K1224" s="333"/>
    </row>
    <row r="1225" spans="1:11" s="332" customFormat="1" ht="79.900000000000006" customHeight="1" x14ac:dyDescent="0.25">
      <c r="A1225" s="335" t="s">
        <v>84</v>
      </c>
      <c r="B1225" s="334" t="s">
        <v>197</v>
      </c>
      <c r="C1225" s="334" t="s">
        <v>129</v>
      </c>
      <c r="D1225" s="334" t="s">
        <v>1106</v>
      </c>
      <c r="E1225" s="334" t="s">
        <v>85</v>
      </c>
      <c r="F1225" s="337">
        <f>F1226</f>
        <v>31.093579999999999</v>
      </c>
      <c r="G1225" s="337">
        <f>G1226</f>
        <v>31.093579999999999</v>
      </c>
      <c r="H1225" s="114">
        <f t="shared" si="100"/>
        <v>100</v>
      </c>
      <c r="I1225" s="333"/>
      <c r="J1225" s="333"/>
      <c r="K1225" s="333"/>
    </row>
    <row r="1226" spans="1:11" s="332" customFormat="1" ht="37.15" customHeight="1" x14ac:dyDescent="0.25">
      <c r="A1226" s="335" t="s">
        <v>86</v>
      </c>
      <c r="B1226" s="334" t="s">
        <v>197</v>
      </c>
      <c r="C1226" s="334" t="s">
        <v>129</v>
      </c>
      <c r="D1226" s="334" t="s">
        <v>1106</v>
      </c>
      <c r="E1226" s="334" t="s">
        <v>87</v>
      </c>
      <c r="F1226" s="337">
        <f>'Пр.4 Ведом23'!G1065</f>
        <v>31.093579999999999</v>
      </c>
      <c r="G1226" s="337">
        <f>'Пр.4 Ведом23'!H1065</f>
        <v>31.093579999999999</v>
      </c>
      <c r="H1226" s="114">
        <f t="shared" si="100"/>
        <v>100</v>
      </c>
      <c r="I1226" s="333"/>
      <c r="J1226" s="333"/>
      <c r="K1226" s="333"/>
    </row>
    <row r="1227" spans="1:11" s="131" customFormat="1" ht="15.75" x14ac:dyDescent="0.25">
      <c r="A1227" s="116" t="s">
        <v>97</v>
      </c>
      <c r="B1227" s="117" t="s">
        <v>197</v>
      </c>
      <c r="C1227" s="117" t="s">
        <v>129</v>
      </c>
      <c r="D1227" s="117" t="s">
        <v>329</v>
      </c>
      <c r="E1227" s="117"/>
      <c r="F1227" s="338">
        <f>F1228</f>
        <v>8399.6923600000009</v>
      </c>
      <c r="G1227" s="338">
        <f>G1228</f>
        <v>8399.4980899999991</v>
      </c>
      <c r="H1227" s="113">
        <f t="shared" ref="H1227:H1275" si="108">G1227/F1227*100</f>
        <v>99.997687177200362</v>
      </c>
      <c r="I1227" s="132"/>
      <c r="J1227" s="132"/>
      <c r="K1227" s="132"/>
    </row>
    <row r="1228" spans="1:11" s="131" customFormat="1" ht="15.75" x14ac:dyDescent="0.25">
      <c r="A1228" s="116" t="s">
        <v>736</v>
      </c>
      <c r="B1228" s="117" t="s">
        <v>197</v>
      </c>
      <c r="C1228" s="117" t="s">
        <v>129</v>
      </c>
      <c r="D1228" s="117" t="s">
        <v>384</v>
      </c>
      <c r="E1228" s="117"/>
      <c r="F1228" s="338">
        <f>F1229+F1232+F1239+F1242</f>
        <v>8399.6923600000009</v>
      </c>
      <c r="G1228" s="338">
        <f>G1229+G1232+G1239+G1242</f>
        <v>8399.4980899999991</v>
      </c>
      <c r="H1228" s="113">
        <f t="shared" si="108"/>
        <v>99.997687177200362</v>
      </c>
      <c r="I1228" s="132"/>
      <c r="J1228" s="132"/>
      <c r="K1228" s="132"/>
    </row>
    <row r="1229" spans="1:11" s="131" customFormat="1" ht="47.25" x14ac:dyDescent="0.25">
      <c r="A1229" s="335" t="s">
        <v>304</v>
      </c>
      <c r="B1229" s="334" t="s">
        <v>197</v>
      </c>
      <c r="C1229" s="334" t="s">
        <v>129</v>
      </c>
      <c r="D1229" s="334" t="s">
        <v>387</v>
      </c>
      <c r="E1229" s="334"/>
      <c r="F1229" s="337">
        <f>F1230</f>
        <v>365.0598</v>
      </c>
      <c r="G1229" s="337">
        <f>G1230</f>
        <v>365.0598</v>
      </c>
      <c r="H1229" s="114">
        <f t="shared" si="108"/>
        <v>100</v>
      </c>
      <c r="I1229" s="132"/>
      <c r="J1229" s="132"/>
      <c r="K1229" s="132"/>
    </row>
    <row r="1230" spans="1:11" s="75" customFormat="1" ht="78.75" x14ac:dyDescent="0.25">
      <c r="A1230" s="335" t="s">
        <v>84</v>
      </c>
      <c r="B1230" s="334" t="s">
        <v>197</v>
      </c>
      <c r="C1230" s="334" t="s">
        <v>129</v>
      </c>
      <c r="D1230" s="334" t="s">
        <v>387</v>
      </c>
      <c r="E1230" s="334" t="s">
        <v>85</v>
      </c>
      <c r="F1230" s="337">
        <f>F1231</f>
        <v>365.0598</v>
      </c>
      <c r="G1230" s="337">
        <f>G1231</f>
        <v>365.0598</v>
      </c>
      <c r="H1230" s="114">
        <f t="shared" si="108"/>
        <v>100</v>
      </c>
      <c r="I1230" s="132"/>
      <c r="J1230" s="132"/>
      <c r="K1230" s="132"/>
    </row>
    <row r="1231" spans="1:11" s="131" customFormat="1" ht="31.5" x14ac:dyDescent="0.25">
      <c r="A1231" s="335" t="s">
        <v>168</v>
      </c>
      <c r="B1231" s="334" t="s">
        <v>197</v>
      </c>
      <c r="C1231" s="334" t="s">
        <v>129</v>
      </c>
      <c r="D1231" s="334" t="s">
        <v>387</v>
      </c>
      <c r="E1231" s="334" t="s">
        <v>117</v>
      </c>
      <c r="F1231" s="337">
        <f>'Пр.4 Ведом23'!G1072</f>
        <v>365.0598</v>
      </c>
      <c r="G1231" s="337">
        <f>'Пр.4 Ведом23'!H1072</f>
        <v>365.0598</v>
      </c>
      <c r="H1231" s="114">
        <f t="shared" si="108"/>
        <v>100</v>
      </c>
      <c r="I1231" s="132"/>
      <c r="J1231" s="132"/>
      <c r="K1231" s="132"/>
    </row>
    <row r="1232" spans="1:11" s="131" customFormat="1" ht="15.75" x14ac:dyDescent="0.25">
      <c r="A1232" s="335" t="s">
        <v>283</v>
      </c>
      <c r="B1232" s="334" t="s">
        <v>197</v>
      </c>
      <c r="C1232" s="334" t="s">
        <v>129</v>
      </c>
      <c r="D1232" s="334" t="s">
        <v>386</v>
      </c>
      <c r="E1232" s="334"/>
      <c r="F1232" s="337">
        <f>F1233+F1235+F1237</f>
        <v>7860.7125600000008</v>
      </c>
      <c r="G1232" s="337">
        <f>G1233+G1235+G1237</f>
        <v>7860.51829</v>
      </c>
      <c r="H1232" s="114">
        <f t="shared" si="108"/>
        <v>99.997528595550108</v>
      </c>
      <c r="I1232" s="132"/>
      <c r="J1232" s="132"/>
      <c r="K1232" s="132"/>
    </row>
    <row r="1233" spans="1:11" s="131" customFormat="1" ht="78.75" x14ac:dyDescent="0.25">
      <c r="A1233" s="335" t="s">
        <v>84</v>
      </c>
      <c r="B1233" s="334" t="s">
        <v>197</v>
      </c>
      <c r="C1233" s="334" t="s">
        <v>129</v>
      </c>
      <c r="D1233" s="334" t="s">
        <v>386</v>
      </c>
      <c r="E1233" s="334" t="s">
        <v>85</v>
      </c>
      <c r="F1233" s="337">
        <f>F1234</f>
        <v>7757.7100000000009</v>
      </c>
      <c r="G1233" s="337">
        <f>G1234</f>
        <v>7757.5157300000001</v>
      </c>
      <c r="H1233" s="114">
        <f t="shared" si="108"/>
        <v>99.997495781615953</v>
      </c>
      <c r="I1233" s="132"/>
      <c r="J1233" s="132"/>
      <c r="K1233" s="132"/>
    </row>
    <row r="1234" spans="1:11" s="131" customFormat="1" ht="31.5" x14ac:dyDescent="0.25">
      <c r="A1234" s="335" t="s">
        <v>168</v>
      </c>
      <c r="B1234" s="334" t="s">
        <v>197</v>
      </c>
      <c r="C1234" s="334" t="s">
        <v>129</v>
      </c>
      <c r="D1234" s="334" t="s">
        <v>386</v>
      </c>
      <c r="E1234" s="334" t="s">
        <v>117</v>
      </c>
      <c r="F1234" s="337">
        <f>'Пр.4 Ведом23'!G1075</f>
        <v>7757.7100000000009</v>
      </c>
      <c r="G1234" s="337">
        <f>'Пр.4 Ведом23'!H1075</f>
        <v>7757.5157300000001</v>
      </c>
      <c r="H1234" s="114">
        <f t="shared" si="108"/>
        <v>99.997495781615953</v>
      </c>
      <c r="I1234" s="132"/>
      <c r="J1234" s="132"/>
      <c r="K1234" s="132"/>
    </row>
    <row r="1235" spans="1:11" s="131" customFormat="1" ht="31.5" x14ac:dyDescent="0.25">
      <c r="A1235" s="335" t="s">
        <v>88</v>
      </c>
      <c r="B1235" s="334" t="s">
        <v>197</v>
      </c>
      <c r="C1235" s="334" t="s">
        <v>129</v>
      </c>
      <c r="D1235" s="334" t="s">
        <v>386</v>
      </c>
      <c r="E1235" s="334" t="s">
        <v>89</v>
      </c>
      <c r="F1235" s="337">
        <f>F1236</f>
        <v>103</v>
      </c>
      <c r="G1235" s="337">
        <f>G1236</f>
        <v>103</v>
      </c>
      <c r="H1235" s="114">
        <f t="shared" si="108"/>
        <v>100</v>
      </c>
      <c r="I1235" s="132"/>
      <c r="J1235" s="132"/>
      <c r="K1235" s="132"/>
    </row>
    <row r="1236" spans="1:11" s="131" customFormat="1" ht="31.5" customHeight="1" x14ac:dyDescent="0.25">
      <c r="A1236" s="335" t="s">
        <v>90</v>
      </c>
      <c r="B1236" s="334" t="s">
        <v>197</v>
      </c>
      <c r="C1236" s="334" t="s">
        <v>129</v>
      </c>
      <c r="D1236" s="334" t="s">
        <v>386</v>
      </c>
      <c r="E1236" s="334" t="s">
        <v>91</v>
      </c>
      <c r="F1236" s="337">
        <f>'Пр.4 Ведом23'!G1077</f>
        <v>103</v>
      </c>
      <c r="G1236" s="337">
        <f>'Пр.4 Ведом23'!H1077</f>
        <v>103</v>
      </c>
      <c r="H1236" s="114">
        <f t="shared" si="108"/>
        <v>100</v>
      </c>
      <c r="I1236" s="132"/>
      <c r="J1236" s="132"/>
      <c r="K1236" s="132"/>
    </row>
    <row r="1237" spans="1:11" s="131" customFormat="1" ht="15.75" hidden="1" customHeight="1" x14ac:dyDescent="0.25">
      <c r="A1237" s="335" t="s">
        <v>92</v>
      </c>
      <c r="B1237" s="334" t="s">
        <v>197</v>
      </c>
      <c r="C1237" s="334" t="s">
        <v>129</v>
      </c>
      <c r="D1237" s="334" t="s">
        <v>386</v>
      </c>
      <c r="E1237" s="334" t="s">
        <v>98</v>
      </c>
      <c r="F1237" s="337">
        <f>F1238</f>
        <v>2.5599999999998957E-3</v>
      </c>
      <c r="G1237" s="337">
        <f>G1238</f>
        <v>2.5600000000000002E-3</v>
      </c>
      <c r="H1237" s="114">
        <f t="shared" si="108"/>
        <v>100.00000000000409</v>
      </c>
      <c r="I1237" s="132"/>
      <c r="J1237" s="132"/>
      <c r="K1237" s="132"/>
    </row>
    <row r="1238" spans="1:11" s="75" customFormat="1" ht="15.75" hidden="1" customHeight="1" x14ac:dyDescent="0.25">
      <c r="A1238" s="335" t="s">
        <v>223</v>
      </c>
      <c r="B1238" s="334" t="s">
        <v>197</v>
      </c>
      <c r="C1238" s="334" t="s">
        <v>129</v>
      </c>
      <c r="D1238" s="334" t="s">
        <v>386</v>
      </c>
      <c r="E1238" s="334" t="s">
        <v>94</v>
      </c>
      <c r="F1238" s="337">
        <f>'Пр.4 Ведом23'!G1079</f>
        <v>2.5599999999998957E-3</v>
      </c>
      <c r="G1238" s="337">
        <f>'Пр.4 Ведом23'!H1079</f>
        <v>2.5600000000000002E-3</v>
      </c>
      <c r="H1238" s="114">
        <f t="shared" si="108"/>
        <v>100.00000000000409</v>
      </c>
      <c r="I1238" s="132"/>
      <c r="J1238" s="132"/>
      <c r="K1238" s="132"/>
    </row>
    <row r="1239" spans="1:11" s="332" customFormat="1" ht="31.5" x14ac:dyDescent="0.25">
      <c r="A1239" s="335" t="s">
        <v>1085</v>
      </c>
      <c r="B1239" s="334" t="s">
        <v>197</v>
      </c>
      <c r="C1239" s="334" t="s">
        <v>129</v>
      </c>
      <c r="D1239" s="334" t="s">
        <v>1083</v>
      </c>
      <c r="E1239" s="334"/>
      <c r="F1239" s="337">
        <f>F1240</f>
        <v>39.06</v>
      </c>
      <c r="G1239" s="337">
        <f>G1240</f>
        <v>39.06</v>
      </c>
      <c r="H1239" s="114">
        <f t="shared" si="108"/>
        <v>100</v>
      </c>
      <c r="I1239" s="333"/>
      <c r="J1239" s="333"/>
      <c r="K1239" s="333"/>
    </row>
    <row r="1240" spans="1:11" s="332" customFormat="1" ht="78.75" x14ac:dyDescent="0.25">
      <c r="A1240" s="335" t="s">
        <v>84</v>
      </c>
      <c r="B1240" s="334" t="s">
        <v>197</v>
      </c>
      <c r="C1240" s="334" t="s">
        <v>129</v>
      </c>
      <c r="D1240" s="334" t="s">
        <v>1083</v>
      </c>
      <c r="E1240" s="334" t="s">
        <v>85</v>
      </c>
      <c r="F1240" s="337">
        <f>F1241</f>
        <v>39.06</v>
      </c>
      <c r="G1240" s="337">
        <f>G1241</f>
        <v>39.06</v>
      </c>
      <c r="H1240" s="114">
        <f t="shared" si="108"/>
        <v>100</v>
      </c>
      <c r="I1240" s="333"/>
      <c r="J1240" s="333"/>
      <c r="K1240" s="333"/>
    </row>
    <row r="1241" spans="1:11" s="332" customFormat="1" ht="31.5" x14ac:dyDescent="0.25">
      <c r="A1241" s="335" t="s">
        <v>168</v>
      </c>
      <c r="B1241" s="334" t="s">
        <v>197</v>
      </c>
      <c r="C1241" s="334" t="s">
        <v>129</v>
      </c>
      <c r="D1241" s="334" t="s">
        <v>1083</v>
      </c>
      <c r="E1241" s="334" t="s">
        <v>117</v>
      </c>
      <c r="F1241" s="337">
        <f>'Пр.4 Ведом23'!G1082</f>
        <v>39.06</v>
      </c>
      <c r="G1241" s="337">
        <f>'Пр.4 Ведом23'!H1082</f>
        <v>39.06</v>
      </c>
      <c r="H1241" s="114">
        <f t="shared" si="108"/>
        <v>100</v>
      </c>
      <c r="I1241" s="333"/>
      <c r="J1241" s="333"/>
      <c r="K1241" s="333"/>
    </row>
    <row r="1242" spans="1:11" s="332" customFormat="1" ht="36" customHeight="1" x14ac:dyDescent="0.25">
      <c r="A1242" s="335" t="s">
        <v>1118</v>
      </c>
      <c r="B1242" s="334" t="s">
        <v>197</v>
      </c>
      <c r="C1242" s="334" t="s">
        <v>129</v>
      </c>
      <c r="D1242" s="334" t="s">
        <v>1119</v>
      </c>
      <c r="E1242" s="334"/>
      <c r="F1242" s="337">
        <f>F1243</f>
        <v>134.86000000000001</v>
      </c>
      <c r="G1242" s="337">
        <f>G1243</f>
        <v>134.86000000000001</v>
      </c>
      <c r="H1242" s="114">
        <f t="shared" si="108"/>
        <v>100</v>
      </c>
      <c r="I1242" s="333"/>
      <c r="J1242" s="333"/>
      <c r="K1242" s="333"/>
    </row>
    <row r="1243" spans="1:11" s="332" customFormat="1" ht="80.25" customHeight="1" x14ac:dyDescent="0.25">
      <c r="A1243" s="335" t="s">
        <v>84</v>
      </c>
      <c r="B1243" s="334" t="s">
        <v>197</v>
      </c>
      <c r="C1243" s="334" t="s">
        <v>129</v>
      </c>
      <c r="D1243" s="334" t="s">
        <v>1119</v>
      </c>
      <c r="E1243" s="334" t="s">
        <v>85</v>
      </c>
      <c r="F1243" s="337">
        <f>F1244</f>
        <v>134.86000000000001</v>
      </c>
      <c r="G1243" s="337">
        <f>G1244</f>
        <v>134.86000000000001</v>
      </c>
      <c r="H1243" s="114">
        <f t="shared" si="108"/>
        <v>100</v>
      </c>
      <c r="I1243" s="333"/>
      <c r="J1243" s="333"/>
      <c r="K1243" s="333"/>
    </row>
    <row r="1244" spans="1:11" s="332" customFormat="1" ht="25.15" customHeight="1" x14ac:dyDescent="0.25">
      <c r="A1244" s="335" t="s">
        <v>168</v>
      </c>
      <c r="B1244" s="334" t="s">
        <v>197</v>
      </c>
      <c r="C1244" s="334" t="s">
        <v>129</v>
      </c>
      <c r="D1244" s="334" t="s">
        <v>1119</v>
      </c>
      <c r="E1244" s="334" t="s">
        <v>117</v>
      </c>
      <c r="F1244" s="337">
        <f>'Пр.4 Ведом23'!G1085</f>
        <v>134.86000000000001</v>
      </c>
      <c r="G1244" s="337">
        <f>'Пр.4 Ведом23'!H1085</f>
        <v>134.86000000000001</v>
      </c>
      <c r="H1244" s="114">
        <f t="shared" si="108"/>
        <v>100</v>
      </c>
      <c r="I1244" s="333"/>
      <c r="J1244" s="333"/>
      <c r="K1244" s="333"/>
    </row>
    <row r="1245" spans="1:11" s="75" customFormat="1" ht="47.25" x14ac:dyDescent="0.25">
      <c r="A1245" s="130" t="s">
        <v>888</v>
      </c>
      <c r="B1245" s="117" t="s">
        <v>197</v>
      </c>
      <c r="C1245" s="117" t="s">
        <v>129</v>
      </c>
      <c r="D1245" s="6" t="s">
        <v>195</v>
      </c>
      <c r="E1245" s="117"/>
      <c r="F1245" s="338">
        <f>F1246</f>
        <v>3500</v>
      </c>
      <c r="G1245" s="338">
        <f>G1246</f>
        <v>3497.8330000000001</v>
      </c>
      <c r="H1245" s="113">
        <f t="shared" si="108"/>
        <v>99.93808571428572</v>
      </c>
      <c r="I1245" s="132"/>
      <c r="J1245" s="132"/>
      <c r="K1245" s="132"/>
    </row>
    <row r="1246" spans="1:11" s="75" customFormat="1" ht="31.5" x14ac:dyDescent="0.25">
      <c r="A1246" s="30" t="s">
        <v>382</v>
      </c>
      <c r="B1246" s="117" t="s">
        <v>197</v>
      </c>
      <c r="C1246" s="117" t="s">
        <v>129</v>
      </c>
      <c r="D1246" s="6" t="s">
        <v>606</v>
      </c>
      <c r="E1246" s="117"/>
      <c r="F1246" s="338">
        <f>F1247</f>
        <v>3500</v>
      </c>
      <c r="G1246" s="338">
        <f>G1247</f>
        <v>3497.8330000000001</v>
      </c>
      <c r="H1246" s="113">
        <f t="shared" si="108"/>
        <v>99.93808571428572</v>
      </c>
      <c r="I1246" s="132"/>
      <c r="J1246" s="132"/>
      <c r="K1246" s="132"/>
    </row>
    <row r="1247" spans="1:11" s="131" customFormat="1" ht="15.75" x14ac:dyDescent="0.25">
      <c r="A1247" s="19" t="s">
        <v>383</v>
      </c>
      <c r="B1247" s="334" t="s">
        <v>197</v>
      </c>
      <c r="C1247" s="334" t="s">
        <v>129</v>
      </c>
      <c r="D1247" s="217" t="s">
        <v>607</v>
      </c>
      <c r="E1247" s="334"/>
      <c r="F1247" s="337">
        <f>F1248+F1250</f>
        <v>3500</v>
      </c>
      <c r="G1247" s="337">
        <f>G1248+G1250</f>
        <v>3497.8330000000001</v>
      </c>
      <c r="H1247" s="114">
        <f t="shared" si="108"/>
        <v>99.93808571428572</v>
      </c>
      <c r="I1247" s="132"/>
      <c r="J1247" s="132"/>
      <c r="K1247" s="132"/>
    </row>
    <row r="1248" spans="1:11" s="131" customFormat="1" ht="78.75" x14ac:dyDescent="0.25">
      <c r="A1248" s="335" t="s">
        <v>84</v>
      </c>
      <c r="B1248" s="334" t="s">
        <v>197</v>
      </c>
      <c r="C1248" s="334" t="s">
        <v>129</v>
      </c>
      <c r="D1248" s="217" t="s">
        <v>607</v>
      </c>
      <c r="E1248" s="334" t="s">
        <v>85</v>
      </c>
      <c r="F1248" s="337">
        <f>F1249</f>
        <v>2943.08</v>
      </c>
      <c r="G1248" s="337">
        <f>G1249</f>
        <v>2943.08</v>
      </c>
      <c r="H1248" s="114">
        <f t="shared" si="108"/>
        <v>100</v>
      </c>
      <c r="I1248" s="132"/>
      <c r="J1248" s="132"/>
      <c r="K1248" s="132"/>
    </row>
    <row r="1249" spans="1:11" ht="31.5" x14ac:dyDescent="0.25">
      <c r="A1249" s="335" t="s">
        <v>168</v>
      </c>
      <c r="B1249" s="334" t="s">
        <v>197</v>
      </c>
      <c r="C1249" s="334" t="s">
        <v>129</v>
      </c>
      <c r="D1249" s="217" t="s">
        <v>607</v>
      </c>
      <c r="E1249" s="334" t="s">
        <v>117</v>
      </c>
      <c r="F1249" s="337">
        <f>'Пр.4 Ведом23'!G1090</f>
        <v>2943.08</v>
      </c>
      <c r="G1249" s="337">
        <f>'Пр.4 Ведом23'!H1090</f>
        <v>2943.08</v>
      </c>
      <c r="H1249" s="114">
        <f t="shared" si="108"/>
        <v>100</v>
      </c>
    </row>
    <row r="1250" spans="1:11" ht="31.5" x14ac:dyDescent="0.25">
      <c r="A1250" s="19" t="s">
        <v>88</v>
      </c>
      <c r="B1250" s="334" t="s">
        <v>197</v>
      </c>
      <c r="C1250" s="334" t="s">
        <v>129</v>
      </c>
      <c r="D1250" s="217" t="s">
        <v>607</v>
      </c>
      <c r="E1250" s="334" t="s">
        <v>89</v>
      </c>
      <c r="F1250" s="337">
        <f>F1251</f>
        <v>556.91999999999996</v>
      </c>
      <c r="G1250" s="337">
        <f>G1251</f>
        <v>554.75300000000004</v>
      </c>
      <c r="H1250" s="114">
        <f t="shared" si="108"/>
        <v>99.610895640307419</v>
      </c>
    </row>
    <row r="1251" spans="1:11" ht="31.5" customHeight="1" x14ac:dyDescent="0.25">
      <c r="A1251" s="19" t="s">
        <v>90</v>
      </c>
      <c r="B1251" s="334" t="s">
        <v>197</v>
      </c>
      <c r="C1251" s="334" t="s">
        <v>129</v>
      </c>
      <c r="D1251" s="217" t="s">
        <v>607</v>
      </c>
      <c r="E1251" s="334" t="s">
        <v>91</v>
      </c>
      <c r="F1251" s="337">
        <f>'Пр.4 Ведом23'!G1092</f>
        <v>556.91999999999996</v>
      </c>
      <c r="G1251" s="337">
        <f>'Пр.4 Ведом23'!H1092</f>
        <v>554.75300000000004</v>
      </c>
      <c r="H1251" s="114">
        <f t="shared" si="108"/>
        <v>99.610895640307419</v>
      </c>
    </row>
    <row r="1252" spans="1:11" ht="15.75" x14ac:dyDescent="0.25">
      <c r="A1252" s="116" t="s">
        <v>230</v>
      </c>
      <c r="B1252" s="117" t="s">
        <v>132</v>
      </c>
      <c r="C1252" s="334"/>
      <c r="D1252" s="334"/>
      <c r="E1252" s="334"/>
      <c r="F1252" s="338">
        <f>F1253</f>
        <v>6528.3590699999995</v>
      </c>
      <c r="G1252" s="338">
        <f>G1253</f>
        <v>6528.3590700000004</v>
      </c>
      <c r="H1252" s="113">
        <f t="shared" si="108"/>
        <v>100.00000000000003</v>
      </c>
    </row>
    <row r="1253" spans="1:11" ht="15.75" x14ac:dyDescent="0.25">
      <c r="A1253" s="116" t="s">
        <v>231</v>
      </c>
      <c r="B1253" s="117" t="s">
        <v>132</v>
      </c>
      <c r="C1253" s="117" t="s">
        <v>119</v>
      </c>
      <c r="D1253" s="117"/>
      <c r="E1253" s="117"/>
      <c r="F1253" s="338">
        <f>F1254+F1270</f>
        <v>6528.3590699999995</v>
      </c>
      <c r="G1253" s="338">
        <f>G1254+G1270</f>
        <v>6528.3590700000004</v>
      </c>
      <c r="H1253" s="113">
        <f t="shared" si="108"/>
        <v>100.00000000000003</v>
      </c>
    </row>
    <row r="1254" spans="1:11" s="131" customFormat="1" ht="31.5" x14ac:dyDescent="0.25">
      <c r="A1254" s="116" t="s">
        <v>641</v>
      </c>
      <c r="B1254" s="117" t="s">
        <v>132</v>
      </c>
      <c r="C1254" s="117" t="s">
        <v>119</v>
      </c>
      <c r="D1254" s="117" t="s">
        <v>147</v>
      </c>
      <c r="E1254" s="117"/>
      <c r="F1254" s="338">
        <f>F1255+F1266</f>
        <v>6450.3590699999995</v>
      </c>
      <c r="G1254" s="338">
        <f>G1255+G1266</f>
        <v>6450.3590700000004</v>
      </c>
      <c r="H1254" s="113">
        <f t="shared" si="108"/>
        <v>100.00000000000003</v>
      </c>
      <c r="I1254" s="132"/>
      <c r="J1254" s="132"/>
      <c r="K1254" s="132"/>
    </row>
    <row r="1255" spans="1:11" s="131" customFormat="1" ht="31.5" x14ac:dyDescent="0.25">
      <c r="A1255" s="116" t="s">
        <v>622</v>
      </c>
      <c r="B1255" s="117" t="s">
        <v>132</v>
      </c>
      <c r="C1255" s="117" t="s">
        <v>119</v>
      </c>
      <c r="D1255" s="117" t="s">
        <v>560</v>
      </c>
      <c r="E1255" s="117"/>
      <c r="F1255" s="338">
        <f>F1256+F1263</f>
        <v>6075.3240699999997</v>
      </c>
      <c r="G1255" s="338">
        <f>G1256+G1263</f>
        <v>6075.3240700000006</v>
      </c>
      <c r="H1255" s="113">
        <f t="shared" si="108"/>
        <v>100.00000000000003</v>
      </c>
      <c r="I1255" s="132"/>
      <c r="J1255" s="132"/>
      <c r="K1255" s="132"/>
    </row>
    <row r="1256" spans="1:11" s="131" customFormat="1" ht="15.75" x14ac:dyDescent="0.25">
      <c r="A1256" s="335" t="s">
        <v>283</v>
      </c>
      <c r="B1256" s="334" t="s">
        <v>132</v>
      </c>
      <c r="C1256" s="334" t="s">
        <v>119</v>
      </c>
      <c r="D1256" s="334" t="s">
        <v>561</v>
      </c>
      <c r="E1256" s="334"/>
      <c r="F1256" s="337">
        <f>F1257+F1259+F1261</f>
        <v>5993.21407</v>
      </c>
      <c r="G1256" s="337">
        <f>G1257+G1259+G1261</f>
        <v>5993.2140700000009</v>
      </c>
      <c r="H1256" s="114">
        <f t="shared" si="108"/>
        <v>100.00000000000003</v>
      </c>
      <c r="I1256" s="132"/>
      <c r="J1256" s="132"/>
      <c r="K1256" s="132"/>
    </row>
    <row r="1257" spans="1:11" ht="78.75" x14ac:dyDescent="0.25">
      <c r="A1257" s="335" t="s">
        <v>84</v>
      </c>
      <c r="B1257" s="334" t="s">
        <v>132</v>
      </c>
      <c r="C1257" s="334" t="s">
        <v>119</v>
      </c>
      <c r="D1257" s="334" t="s">
        <v>561</v>
      </c>
      <c r="E1257" s="334" t="s">
        <v>85</v>
      </c>
      <c r="F1257" s="337">
        <f>F1258</f>
        <v>4991.2472599999992</v>
      </c>
      <c r="G1257" s="337">
        <f>G1258</f>
        <v>4991.2472600000001</v>
      </c>
      <c r="H1257" s="114">
        <f t="shared" si="108"/>
        <v>100.00000000000003</v>
      </c>
    </row>
    <row r="1258" spans="1:11" ht="15.75" x14ac:dyDescent="0.25">
      <c r="A1258" s="335" t="s">
        <v>116</v>
      </c>
      <c r="B1258" s="334" t="s">
        <v>132</v>
      </c>
      <c r="C1258" s="334" t="s">
        <v>119</v>
      </c>
      <c r="D1258" s="334" t="s">
        <v>561</v>
      </c>
      <c r="E1258" s="334" t="s">
        <v>117</v>
      </c>
      <c r="F1258" s="271">
        <f>'Пр.4 Ведом23'!G620</f>
        <v>4991.2472599999992</v>
      </c>
      <c r="G1258" s="271">
        <f>'Пр.4 Ведом23'!H620</f>
        <v>4991.2472600000001</v>
      </c>
      <c r="H1258" s="114">
        <f t="shared" si="108"/>
        <v>100.00000000000003</v>
      </c>
    </row>
    <row r="1259" spans="1:11" ht="31.5" x14ac:dyDescent="0.25">
      <c r="A1259" s="335" t="s">
        <v>88</v>
      </c>
      <c r="B1259" s="334" t="s">
        <v>132</v>
      </c>
      <c r="C1259" s="334" t="s">
        <v>119</v>
      </c>
      <c r="D1259" s="334" t="s">
        <v>561</v>
      </c>
      <c r="E1259" s="334" t="s">
        <v>89</v>
      </c>
      <c r="F1259" s="337">
        <f>F1260</f>
        <v>977.81281000000013</v>
      </c>
      <c r="G1259" s="337">
        <f>G1260</f>
        <v>977.81281000000001</v>
      </c>
      <c r="H1259" s="114">
        <f t="shared" si="108"/>
        <v>99.999999999999986</v>
      </c>
    </row>
    <row r="1260" spans="1:11" ht="31.5" customHeight="1" x14ac:dyDescent="0.25">
      <c r="A1260" s="335" t="s">
        <v>90</v>
      </c>
      <c r="B1260" s="334" t="s">
        <v>132</v>
      </c>
      <c r="C1260" s="334" t="s">
        <v>119</v>
      </c>
      <c r="D1260" s="334" t="s">
        <v>561</v>
      </c>
      <c r="E1260" s="334" t="s">
        <v>91</v>
      </c>
      <c r="F1260" s="271">
        <f>'Пр.4 Ведом23'!G622</f>
        <v>977.81281000000013</v>
      </c>
      <c r="G1260" s="271">
        <f>'Пр.4 Ведом23'!H622</f>
        <v>977.81281000000001</v>
      </c>
      <c r="H1260" s="114">
        <f t="shared" si="108"/>
        <v>99.999999999999986</v>
      </c>
    </row>
    <row r="1261" spans="1:11" ht="15.75" x14ac:dyDescent="0.25">
      <c r="A1261" s="335" t="s">
        <v>92</v>
      </c>
      <c r="B1261" s="334" t="s">
        <v>132</v>
      </c>
      <c r="C1261" s="334" t="s">
        <v>119</v>
      </c>
      <c r="D1261" s="334" t="s">
        <v>561</v>
      </c>
      <c r="E1261" s="334" t="s">
        <v>98</v>
      </c>
      <c r="F1261" s="337">
        <f>F1262</f>
        <v>24.154</v>
      </c>
      <c r="G1261" s="337">
        <f>G1262</f>
        <v>24.154</v>
      </c>
      <c r="H1261" s="114">
        <f t="shared" si="108"/>
        <v>100</v>
      </c>
    </row>
    <row r="1262" spans="1:11" s="131" customFormat="1" ht="15.75" x14ac:dyDescent="0.25">
      <c r="A1262" s="335" t="s">
        <v>223</v>
      </c>
      <c r="B1262" s="334" t="s">
        <v>132</v>
      </c>
      <c r="C1262" s="334" t="s">
        <v>119</v>
      </c>
      <c r="D1262" s="334" t="s">
        <v>561</v>
      </c>
      <c r="E1262" s="334" t="s">
        <v>94</v>
      </c>
      <c r="F1262" s="337">
        <f>'Пр.4 Ведом23'!G624</f>
        <v>24.154</v>
      </c>
      <c r="G1262" s="337">
        <f>'Пр.4 Ведом23'!H624</f>
        <v>24.154</v>
      </c>
      <c r="H1262" s="114">
        <f t="shared" si="108"/>
        <v>100</v>
      </c>
      <c r="I1262" s="132"/>
      <c r="J1262" s="132"/>
      <c r="K1262" s="132"/>
    </row>
    <row r="1263" spans="1:11" s="332" customFormat="1" ht="34.5" customHeight="1" x14ac:dyDescent="0.25">
      <c r="A1263" s="335" t="s">
        <v>1118</v>
      </c>
      <c r="B1263" s="334" t="s">
        <v>132</v>
      </c>
      <c r="C1263" s="334" t="s">
        <v>119</v>
      </c>
      <c r="D1263" s="334" t="s">
        <v>1120</v>
      </c>
      <c r="E1263" s="334"/>
      <c r="F1263" s="337">
        <f>F1264</f>
        <v>82.11</v>
      </c>
      <c r="G1263" s="337">
        <f>G1264</f>
        <v>82.11</v>
      </c>
      <c r="H1263" s="114">
        <f t="shared" si="108"/>
        <v>100</v>
      </c>
      <c r="I1263" s="333"/>
      <c r="J1263" s="333"/>
      <c r="K1263" s="333"/>
    </row>
    <row r="1264" spans="1:11" s="332" customFormat="1" ht="87.75" customHeight="1" x14ac:dyDescent="0.25">
      <c r="A1264" s="335" t="s">
        <v>84</v>
      </c>
      <c r="B1264" s="334" t="s">
        <v>132</v>
      </c>
      <c r="C1264" s="334" t="s">
        <v>119</v>
      </c>
      <c r="D1264" s="334" t="s">
        <v>1120</v>
      </c>
      <c r="E1264" s="334" t="s">
        <v>85</v>
      </c>
      <c r="F1264" s="337">
        <f>F1265</f>
        <v>82.11</v>
      </c>
      <c r="G1264" s="337">
        <f>G1265</f>
        <v>82.11</v>
      </c>
      <c r="H1264" s="114">
        <f t="shared" si="108"/>
        <v>100</v>
      </c>
      <c r="I1264" s="333"/>
      <c r="J1264" s="333"/>
      <c r="K1264" s="333"/>
    </row>
    <row r="1265" spans="1:11" s="332" customFormat="1" ht="15.75" x14ac:dyDescent="0.25">
      <c r="A1265" s="335" t="s">
        <v>116</v>
      </c>
      <c r="B1265" s="334" t="s">
        <v>132</v>
      </c>
      <c r="C1265" s="334" t="s">
        <v>119</v>
      </c>
      <c r="D1265" s="334" t="s">
        <v>1120</v>
      </c>
      <c r="E1265" s="334" t="s">
        <v>117</v>
      </c>
      <c r="F1265" s="337">
        <f>'Пр.4 Ведом23'!G627</f>
        <v>82.11</v>
      </c>
      <c r="G1265" s="337">
        <f>'Пр.4 Ведом23'!H627</f>
        <v>82.11</v>
      </c>
      <c r="H1265" s="114">
        <f t="shared" si="108"/>
        <v>100</v>
      </c>
      <c r="I1265" s="333"/>
      <c r="J1265" s="333"/>
      <c r="K1265" s="333"/>
    </row>
    <row r="1266" spans="1:11" s="131" customFormat="1" ht="31.5" x14ac:dyDescent="0.25">
      <c r="A1266" s="116" t="s">
        <v>380</v>
      </c>
      <c r="B1266" s="117" t="s">
        <v>132</v>
      </c>
      <c r="C1266" s="117" t="s">
        <v>119</v>
      </c>
      <c r="D1266" s="117" t="s">
        <v>565</v>
      </c>
      <c r="E1266" s="117"/>
      <c r="F1266" s="338">
        <f t="shared" ref="F1266:G1268" si="109">F1267</f>
        <v>375.03499999999997</v>
      </c>
      <c r="G1266" s="338">
        <f t="shared" si="109"/>
        <v>375.03500000000003</v>
      </c>
      <c r="H1266" s="113">
        <f t="shared" si="108"/>
        <v>100.00000000000003</v>
      </c>
      <c r="I1266" s="132"/>
      <c r="J1266" s="132"/>
      <c r="K1266" s="132"/>
    </row>
    <row r="1267" spans="1:11" s="131" customFormat="1" ht="47.25" x14ac:dyDescent="0.25">
      <c r="A1267" s="335" t="s">
        <v>304</v>
      </c>
      <c r="B1267" s="334" t="s">
        <v>132</v>
      </c>
      <c r="C1267" s="334" t="s">
        <v>119</v>
      </c>
      <c r="D1267" s="334" t="s">
        <v>566</v>
      </c>
      <c r="E1267" s="334"/>
      <c r="F1267" s="337">
        <f t="shared" si="109"/>
        <v>375.03499999999997</v>
      </c>
      <c r="G1267" s="337">
        <f t="shared" si="109"/>
        <v>375.03500000000003</v>
      </c>
      <c r="H1267" s="114">
        <f t="shared" si="108"/>
        <v>100.00000000000003</v>
      </c>
      <c r="I1267" s="132"/>
      <c r="J1267" s="132"/>
      <c r="K1267" s="132"/>
    </row>
    <row r="1268" spans="1:11" s="75" customFormat="1" ht="78.75" x14ac:dyDescent="0.25">
      <c r="A1268" s="335" t="s">
        <v>84</v>
      </c>
      <c r="B1268" s="334" t="s">
        <v>132</v>
      </c>
      <c r="C1268" s="334" t="s">
        <v>119</v>
      </c>
      <c r="D1268" s="334" t="s">
        <v>566</v>
      </c>
      <c r="E1268" s="334" t="s">
        <v>85</v>
      </c>
      <c r="F1268" s="337">
        <f t="shared" si="109"/>
        <v>375.03499999999997</v>
      </c>
      <c r="G1268" s="337">
        <f t="shared" si="109"/>
        <v>375.03500000000003</v>
      </c>
      <c r="H1268" s="114">
        <f t="shared" si="108"/>
        <v>100.00000000000003</v>
      </c>
      <c r="I1268" s="132"/>
      <c r="J1268" s="132"/>
      <c r="K1268" s="132"/>
    </row>
    <row r="1269" spans="1:11" s="264" customFormat="1" ht="15.75" x14ac:dyDescent="0.25">
      <c r="A1269" s="335" t="s">
        <v>116</v>
      </c>
      <c r="B1269" s="334" t="s">
        <v>132</v>
      </c>
      <c r="C1269" s="334" t="s">
        <v>119</v>
      </c>
      <c r="D1269" s="334" t="s">
        <v>566</v>
      </c>
      <c r="E1269" s="334" t="s">
        <v>117</v>
      </c>
      <c r="F1269" s="337">
        <f>'Пр.4 Ведом23'!G631</f>
        <v>375.03499999999997</v>
      </c>
      <c r="G1269" s="337">
        <f>'Пр.4 Ведом23'!H631</f>
        <v>375.03500000000003</v>
      </c>
      <c r="H1269" s="114">
        <f t="shared" si="108"/>
        <v>100.00000000000003</v>
      </c>
    </row>
    <row r="1270" spans="1:11" s="75" customFormat="1" ht="47.25" x14ac:dyDescent="0.25">
      <c r="A1270" s="130" t="s">
        <v>853</v>
      </c>
      <c r="B1270" s="117" t="s">
        <v>132</v>
      </c>
      <c r="C1270" s="117" t="s">
        <v>119</v>
      </c>
      <c r="D1270" s="117" t="s">
        <v>259</v>
      </c>
      <c r="E1270" s="119"/>
      <c r="F1270" s="338">
        <f>F1272</f>
        <v>78</v>
      </c>
      <c r="G1270" s="338">
        <f>G1272</f>
        <v>78</v>
      </c>
      <c r="H1270" s="113">
        <f t="shared" si="108"/>
        <v>100</v>
      </c>
      <c r="I1270" s="132"/>
      <c r="J1270" s="132"/>
      <c r="K1270" s="132"/>
    </row>
    <row r="1271" spans="1:11" s="75" customFormat="1" ht="47.25" x14ac:dyDescent="0.25">
      <c r="A1271" s="130" t="s">
        <v>341</v>
      </c>
      <c r="B1271" s="117" t="s">
        <v>132</v>
      </c>
      <c r="C1271" s="117" t="s">
        <v>119</v>
      </c>
      <c r="D1271" s="117" t="s">
        <v>339</v>
      </c>
      <c r="E1271" s="119"/>
      <c r="F1271" s="338">
        <f t="shared" ref="F1271:G1273" si="110">F1272</f>
        <v>78</v>
      </c>
      <c r="G1271" s="338">
        <f t="shared" si="110"/>
        <v>78</v>
      </c>
      <c r="H1271" s="113">
        <f t="shared" si="108"/>
        <v>100</v>
      </c>
      <c r="I1271" s="132"/>
      <c r="J1271" s="132"/>
      <c r="K1271" s="132"/>
    </row>
    <row r="1272" spans="1:11" s="75" customFormat="1" ht="47.25" x14ac:dyDescent="0.25">
      <c r="A1272" s="26" t="s">
        <v>433</v>
      </c>
      <c r="B1272" s="334" t="s">
        <v>132</v>
      </c>
      <c r="C1272" s="334" t="s">
        <v>119</v>
      </c>
      <c r="D1272" s="334" t="s">
        <v>340</v>
      </c>
      <c r="E1272" s="118"/>
      <c r="F1272" s="337">
        <f t="shared" si="110"/>
        <v>78</v>
      </c>
      <c r="G1272" s="337">
        <f t="shared" si="110"/>
        <v>78</v>
      </c>
      <c r="H1272" s="114">
        <f t="shared" si="108"/>
        <v>100</v>
      </c>
      <c r="I1272" s="132"/>
      <c r="J1272" s="132"/>
      <c r="K1272" s="132"/>
    </row>
    <row r="1273" spans="1:11" ht="31.5" x14ac:dyDescent="0.25">
      <c r="A1273" s="335" t="s">
        <v>88</v>
      </c>
      <c r="B1273" s="334" t="s">
        <v>132</v>
      </c>
      <c r="C1273" s="334" t="s">
        <v>119</v>
      </c>
      <c r="D1273" s="334" t="s">
        <v>340</v>
      </c>
      <c r="E1273" s="118" t="s">
        <v>89</v>
      </c>
      <c r="F1273" s="337">
        <f t="shared" si="110"/>
        <v>78</v>
      </c>
      <c r="G1273" s="337">
        <f t="shared" si="110"/>
        <v>78</v>
      </c>
      <c r="H1273" s="114">
        <f t="shared" si="108"/>
        <v>100</v>
      </c>
    </row>
    <row r="1274" spans="1:11" ht="31.5" customHeight="1" x14ac:dyDescent="0.25">
      <c r="A1274" s="335" t="s">
        <v>90</v>
      </c>
      <c r="B1274" s="334" t="s">
        <v>132</v>
      </c>
      <c r="C1274" s="334" t="s">
        <v>119</v>
      </c>
      <c r="D1274" s="334" t="s">
        <v>340</v>
      </c>
      <c r="E1274" s="118" t="s">
        <v>91</v>
      </c>
      <c r="F1274" s="337">
        <f>'Пр.4 Ведом23'!G636</f>
        <v>78</v>
      </c>
      <c r="G1274" s="337">
        <f>'Пр.4 Ведом23'!H636</f>
        <v>78</v>
      </c>
      <c r="H1274" s="114">
        <f t="shared" si="108"/>
        <v>100</v>
      </c>
    </row>
    <row r="1275" spans="1:11" ht="15.75" x14ac:dyDescent="0.25">
      <c r="A1275" s="52" t="s">
        <v>232</v>
      </c>
      <c r="B1275" s="6"/>
      <c r="C1275" s="6"/>
      <c r="D1275" s="6"/>
      <c r="E1275" s="6"/>
      <c r="F1275" s="308">
        <f>F10+F9+F276+F283+F320+F385+F607+F614+F892+F1050+F1120+F1252</f>
        <v>1029844.2261399999</v>
      </c>
      <c r="G1275" s="308">
        <f>G10+G9+G276+G283+G320+G385+G607+G614+G892+G1050+G1120+G1252</f>
        <v>1019695.75006</v>
      </c>
      <c r="H1275" s="113">
        <f t="shared" si="108"/>
        <v>99.01456202575045</v>
      </c>
      <c r="J1275" s="58"/>
    </row>
  </sheetData>
  <mergeCells count="15">
    <mergeCell ref="E3:F3"/>
    <mergeCell ref="E1:F1"/>
    <mergeCell ref="E2:F2"/>
    <mergeCell ref="A7:A8"/>
    <mergeCell ref="B7:B8"/>
    <mergeCell ref="C7:C8"/>
    <mergeCell ref="D7:D8"/>
    <mergeCell ref="E7:E8"/>
    <mergeCell ref="A5:H5"/>
    <mergeCell ref="G2:H2"/>
    <mergeCell ref="G1:H1"/>
    <mergeCell ref="G3:H3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67" orientation="portrait" r:id="rId1"/>
  <rowBreaks count="1" manualBreakCount="1">
    <brk id="12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8"/>
  <sheetViews>
    <sheetView view="pageBreakPreview" zoomScale="80" zoomScaleNormal="100" zoomScaleSheetLayoutView="80" workbookViewId="0">
      <selection activeCell="H1" sqref="H1:I3"/>
    </sheetView>
  </sheetViews>
  <sheetFormatPr defaultColWidth="9.140625" defaultRowHeight="15" x14ac:dyDescent="0.25"/>
  <cols>
    <col min="1" max="1" width="61.140625" style="179" customWidth="1"/>
    <col min="2" max="2" width="10.28515625" style="270" customWidth="1"/>
    <col min="3" max="3" width="7.28515625" style="270" customWidth="1"/>
    <col min="4" max="4" width="7.5703125" style="270" customWidth="1"/>
    <col min="5" max="5" width="15.42578125" style="509" customWidth="1"/>
    <col min="6" max="6" width="7.85546875" style="270" customWidth="1"/>
    <col min="7" max="7" width="14.7109375" style="435" customWidth="1"/>
    <col min="8" max="8" width="14.28515625" style="435" customWidth="1"/>
    <col min="9" max="9" width="11.85546875" style="435" customWidth="1"/>
    <col min="10" max="10" width="12.5703125" style="340" customWidth="1"/>
    <col min="11" max="11" width="9.140625" style="333"/>
    <col min="12" max="12" width="11.42578125" style="333" customWidth="1"/>
    <col min="13" max="16384" width="9.140625" style="333"/>
  </cols>
  <sheetData>
    <row r="1" spans="1:10" ht="15.75" x14ac:dyDescent="0.25">
      <c r="A1" s="34"/>
      <c r="B1" s="475"/>
      <c r="C1" s="475"/>
      <c r="D1" s="475"/>
      <c r="E1" s="608"/>
      <c r="F1" s="608"/>
      <c r="G1" s="608"/>
      <c r="H1" s="629" t="s">
        <v>1125</v>
      </c>
      <c r="I1" s="629"/>
    </row>
    <row r="2" spans="1:10" ht="15.75" x14ac:dyDescent="0.25">
      <c r="A2" s="34"/>
      <c r="B2" s="475"/>
      <c r="C2" s="475"/>
      <c r="D2" s="475"/>
      <c r="E2" s="608"/>
      <c r="F2" s="608"/>
      <c r="G2" s="608"/>
      <c r="H2" s="629" t="s">
        <v>1049</v>
      </c>
      <c r="I2" s="629"/>
    </row>
    <row r="3" spans="1:10" ht="15.75" x14ac:dyDescent="0.25">
      <c r="A3" s="61"/>
      <c r="B3" s="476"/>
      <c r="C3" s="476"/>
      <c r="D3" s="476"/>
      <c r="E3" s="608"/>
      <c r="F3" s="608"/>
      <c r="G3" s="608"/>
      <c r="H3" s="629" t="s">
        <v>1162</v>
      </c>
      <c r="I3" s="629"/>
    </row>
    <row r="4" spans="1:10" ht="15.75" x14ac:dyDescent="0.25">
      <c r="A4" s="146"/>
      <c r="B4" s="477"/>
      <c r="C4" s="477"/>
      <c r="D4" s="477"/>
      <c r="E4" s="477"/>
      <c r="F4" s="477"/>
      <c r="G4" s="464"/>
      <c r="H4" s="464"/>
      <c r="I4" s="464"/>
    </row>
    <row r="5" spans="1:10" ht="15.75" customHeight="1" x14ac:dyDescent="0.25">
      <c r="A5" s="600" t="s">
        <v>1130</v>
      </c>
      <c r="B5" s="600"/>
      <c r="C5" s="600"/>
      <c r="D5" s="600"/>
      <c r="E5" s="600"/>
      <c r="F5" s="600"/>
      <c r="G5" s="600"/>
      <c r="H5" s="600"/>
      <c r="I5" s="600"/>
    </row>
    <row r="6" spans="1:10" ht="15.75" x14ac:dyDescent="0.25">
      <c r="A6" s="443"/>
      <c r="B6" s="478"/>
      <c r="C6" s="478"/>
      <c r="D6" s="478"/>
      <c r="E6" s="478"/>
      <c r="F6" s="478"/>
    </row>
    <row r="7" spans="1:10" ht="15.75" x14ac:dyDescent="0.25">
      <c r="A7" s="12"/>
      <c r="B7" s="479"/>
      <c r="C7" s="479"/>
      <c r="D7" s="479"/>
      <c r="E7" s="479"/>
      <c r="F7" s="479"/>
      <c r="G7" s="465"/>
      <c r="H7" s="465"/>
      <c r="I7" s="465"/>
    </row>
    <row r="8" spans="1:10" ht="15.75" customHeight="1" x14ac:dyDescent="0.25">
      <c r="A8" s="603" t="s">
        <v>74</v>
      </c>
      <c r="B8" s="604" t="s">
        <v>75</v>
      </c>
      <c r="C8" s="605" t="s">
        <v>76</v>
      </c>
      <c r="D8" s="605" t="s">
        <v>77</v>
      </c>
      <c r="E8" s="605" t="s">
        <v>78</v>
      </c>
      <c r="F8" s="605" t="s">
        <v>79</v>
      </c>
      <c r="G8" s="606" t="str">
        <f>пр.1дох.23!C7</f>
        <v>Утверждено на 2023 год, тыс.руб.</v>
      </c>
      <c r="H8" s="606" t="str">
        <f>пр.1дох.23!D7</f>
        <v>Исполнено за 2023 год, тыс.руб.</v>
      </c>
      <c r="I8" s="606" t="str">
        <f>пр.1дох.23!E7</f>
        <v>Процент исполнения, %</v>
      </c>
    </row>
    <row r="9" spans="1:10" ht="55.9" customHeight="1" x14ac:dyDescent="0.25">
      <c r="A9" s="603"/>
      <c r="B9" s="604"/>
      <c r="C9" s="605"/>
      <c r="D9" s="605"/>
      <c r="E9" s="605"/>
      <c r="F9" s="605"/>
      <c r="G9" s="607"/>
      <c r="H9" s="607"/>
      <c r="I9" s="607"/>
    </row>
    <row r="10" spans="1:10" s="239" customFormat="1" ht="15.75" hidden="1" x14ac:dyDescent="0.25">
      <c r="A10" s="96" t="s">
        <v>875</v>
      </c>
      <c r="B10" s="463"/>
      <c r="C10" s="480"/>
      <c r="D10" s="480"/>
      <c r="E10" s="480"/>
      <c r="F10" s="480"/>
      <c r="G10" s="344"/>
      <c r="H10" s="302"/>
      <c r="I10" s="302"/>
      <c r="J10" s="280"/>
    </row>
    <row r="11" spans="1:10" ht="31.5" x14ac:dyDescent="0.25">
      <c r="A11" s="115" t="s">
        <v>998</v>
      </c>
      <c r="B11" s="432">
        <v>901</v>
      </c>
      <c r="C11" s="268"/>
      <c r="D11" s="268"/>
      <c r="E11" s="268"/>
      <c r="F11" s="268"/>
      <c r="G11" s="338">
        <f>G12</f>
        <v>17197.522469999996</v>
      </c>
      <c r="H11" s="338">
        <f>H12</f>
        <v>16914.695830000001</v>
      </c>
      <c r="I11" s="338">
        <f>H11/G11*100</f>
        <v>98.355422180762559</v>
      </c>
      <c r="J11" s="281"/>
    </row>
    <row r="12" spans="1:10" ht="15.75" x14ac:dyDescent="0.25">
      <c r="A12" s="116" t="s">
        <v>80</v>
      </c>
      <c r="B12" s="432">
        <v>901</v>
      </c>
      <c r="C12" s="481" t="s">
        <v>81</v>
      </c>
      <c r="D12" s="268"/>
      <c r="E12" s="268"/>
      <c r="F12" s="268"/>
      <c r="G12" s="338">
        <f>G13+G32+G38</f>
        <v>17197.522469999996</v>
      </c>
      <c r="H12" s="338">
        <f>H13+H32+H38</f>
        <v>16914.695830000001</v>
      </c>
      <c r="I12" s="338">
        <f t="shared" ref="I12:I75" si="0">H12/G12*100</f>
        <v>98.355422180762559</v>
      </c>
      <c r="J12" s="281"/>
    </row>
    <row r="13" spans="1:10" ht="47.25" x14ac:dyDescent="0.25">
      <c r="A13" s="116" t="s">
        <v>82</v>
      </c>
      <c r="B13" s="432">
        <v>901</v>
      </c>
      <c r="C13" s="481" t="s">
        <v>81</v>
      </c>
      <c r="D13" s="481" t="s">
        <v>83</v>
      </c>
      <c r="E13" s="481"/>
      <c r="F13" s="481"/>
      <c r="G13" s="338">
        <f>G14</f>
        <v>16755.895269999997</v>
      </c>
      <c r="H13" s="338">
        <f>H14</f>
        <v>16737.695830000001</v>
      </c>
      <c r="I13" s="338">
        <f t="shared" si="0"/>
        <v>99.891384854663173</v>
      </c>
      <c r="J13" s="281"/>
    </row>
    <row r="14" spans="1:10" ht="31.5" x14ac:dyDescent="0.25">
      <c r="A14" s="116" t="s">
        <v>362</v>
      </c>
      <c r="B14" s="432">
        <v>901</v>
      </c>
      <c r="C14" s="481" t="s">
        <v>81</v>
      </c>
      <c r="D14" s="481" t="s">
        <v>83</v>
      </c>
      <c r="E14" s="481" t="s">
        <v>321</v>
      </c>
      <c r="F14" s="481"/>
      <c r="G14" s="338">
        <f>G15</f>
        <v>16755.895269999997</v>
      </c>
      <c r="H14" s="338">
        <f>H15</f>
        <v>16737.695830000001</v>
      </c>
      <c r="I14" s="338">
        <f t="shared" si="0"/>
        <v>99.891384854663173</v>
      </c>
    </row>
    <row r="15" spans="1:10" ht="26.25" customHeight="1" x14ac:dyDescent="0.25">
      <c r="A15" s="116" t="s">
        <v>363</v>
      </c>
      <c r="B15" s="432">
        <v>901</v>
      </c>
      <c r="C15" s="481" t="s">
        <v>81</v>
      </c>
      <c r="D15" s="481" t="s">
        <v>83</v>
      </c>
      <c r="E15" s="481" t="s">
        <v>322</v>
      </c>
      <c r="F15" s="481"/>
      <c r="G15" s="338">
        <f>G16+G23+G26+G29</f>
        <v>16755.895269999997</v>
      </c>
      <c r="H15" s="338">
        <f>H16+H23+H26+H29</f>
        <v>16737.695830000001</v>
      </c>
      <c r="I15" s="338">
        <f t="shared" si="0"/>
        <v>99.891384854663173</v>
      </c>
    </row>
    <row r="16" spans="1:10" ht="31.5" x14ac:dyDescent="0.25">
      <c r="A16" s="335" t="s">
        <v>346</v>
      </c>
      <c r="B16" s="482">
        <v>901</v>
      </c>
      <c r="C16" s="268" t="s">
        <v>81</v>
      </c>
      <c r="D16" s="268" t="s">
        <v>83</v>
      </c>
      <c r="E16" s="268" t="s">
        <v>323</v>
      </c>
      <c r="F16" s="268"/>
      <c r="G16" s="337">
        <f>G17+G19+G21</f>
        <v>16377.615499999998</v>
      </c>
      <c r="H16" s="337">
        <f>H17+H19+H21</f>
        <v>16359.416060000001</v>
      </c>
      <c r="I16" s="337">
        <f t="shared" si="0"/>
        <v>99.888876130960597</v>
      </c>
    </row>
    <row r="17" spans="1:10" ht="78.75" x14ac:dyDescent="0.25">
      <c r="A17" s="335" t="s">
        <v>84</v>
      </c>
      <c r="B17" s="482">
        <v>901</v>
      </c>
      <c r="C17" s="268" t="s">
        <v>81</v>
      </c>
      <c r="D17" s="268" t="s">
        <v>83</v>
      </c>
      <c r="E17" s="268" t="s">
        <v>323</v>
      </c>
      <c r="F17" s="268" t="s">
        <v>85</v>
      </c>
      <c r="G17" s="337">
        <f>G18</f>
        <v>15316.035389999999</v>
      </c>
      <c r="H17" s="337">
        <f>H18</f>
        <v>15297.863950000001</v>
      </c>
      <c r="I17" s="337">
        <f t="shared" si="0"/>
        <v>99.881356764088807</v>
      </c>
      <c r="J17" s="281"/>
    </row>
    <row r="18" spans="1:10" ht="31.5" x14ac:dyDescent="0.25">
      <c r="A18" s="335" t="s">
        <v>86</v>
      </c>
      <c r="B18" s="482">
        <v>901</v>
      </c>
      <c r="C18" s="268" t="s">
        <v>81</v>
      </c>
      <c r="D18" s="268" t="s">
        <v>83</v>
      </c>
      <c r="E18" s="268" t="s">
        <v>323</v>
      </c>
      <c r="F18" s="268" t="s">
        <v>87</v>
      </c>
      <c r="G18" s="271">
        <f>14416.4+249.8945+196.98+59.49+186.54+54.096+72.3+80.33489</f>
        <v>15316.035389999999</v>
      </c>
      <c r="H18" s="271">
        <v>15297.863950000001</v>
      </c>
      <c r="I18" s="337">
        <f t="shared" si="0"/>
        <v>99.881356764088807</v>
      </c>
      <c r="J18" s="581"/>
    </row>
    <row r="19" spans="1:10" ht="31.5" x14ac:dyDescent="0.25">
      <c r="A19" s="335" t="s">
        <v>88</v>
      </c>
      <c r="B19" s="482">
        <v>901</v>
      </c>
      <c r="C19" s="268" t="s">
        <v>81</v>
      </c>
      <c r="D19" s="268" t="s">
        <v>83</v>
      </c>
      <c r="E19" s="268" t="s">
        <v>323</v>
      </c>
      <c r="F19" s="268" t="s">
        <v>89</v>
      </c>
      <c r="G19" s="337">
        <f>G20</f>
        <v>1061.4651099999999</v>
      </c>
      <c r="H19" s="337">
        <f>H20</f>
        <v>1061.4371100000001</v>
      </c>
      <c r="I19" s="337">
        <f t="shared" si="0"/>
        <v>99.997362136566153</v>
      </c>
    </row>
    <row r="20" spans="1:10" ht="31.5" x14ac:dyDescent="0.25">
      <c r="A20" s="335" t="s">
        <v>90</v>
      </c>
      <c r="B20" s="482">
        <v>901</v>
      </c>
      <c r="C20" s="268" t="s">
        <v>81</v>
      </c>
      <c r="D20" s="268" t="s">
        <v>83</v>
      </c>
      <c r="E20" s="268" t="s">
        <v>323</v>
      </c>
      <c r="F20" s="268" t="s">
        <v>91</v>
      </c>
      <c r="G20" s="271">
        <f>1022.3+28+91.5-46.51889-33.816</f>
        <v>1061.4651099999999</v>
      </c>
      <c r="H20" s="271">
        <v>1061.4371100000001</v>
      </c>
      <c r="I20" s="337">
        <f t="shared" si="0"/>
        <v>99.997362136566153</v>
      </c>
      <c r="J20" s="341"/>
    </row>
    <row r="21" spans="1:10" ht="15.75" x14ac:dyDescent="0.25">
      <c r="A21" s="335" t="s">
        <v>92</v>
      </c>
      <c r="B21" s="482">
        <v>901</v>
      </c>
      <c r="C21" s="268" t="s">
        <v>81</v>
      </c>
      <c r="D21" s="268" t="s">
        <v>83</v>
      </c>
      <c r="E21" s="268" t="s">
        <v>323</v>
      </c>
      <c r="F21" s="268" t="s">
        <v>93</v>
      </c>
      <c r="G21" s="337">
        <f>G22</f>
        <v>0.115</v>
      </c>
      <c r="H21" s="337">
        <f>H22</f>
        <v>0.115</v>
      </c>
      <c r="I21" s="337">
        <f t="shared" si="0"/>
        <v>100</v>
      </c>
    </row>
    <row r="22" spans="1:10" ht="15.75" x14ac:dyDescent="0.25">
      <c r="A22" s="335" t="s">
        <v>223</v>
      </c>
      <c r="B22" s="482">
        <v>901</v>
      </c>
      <c r="C22" s="268" t="s">
        <v>81</v>
      </c>
      <c r="D22" s="268" t="s">
        <v>83</v>
      </c>
      <c r="E22" s="268" t="s">
        <v>323</v>
      </c>
      <c r="F22" s="268" t="s">
        <v>94</v>
      </c>
      <c r="G22" s="337">
        <f>28-5-23+0.115</f>
        <v>0.115</v>
      </c>
      <c r="H22" s="337">
        <v>0.115</v>
      </c>
      <c r="I22" s="337">
        <f t="shared" si="0"/>
        <v>100</v>
      </c>
    </row>
    <row r="23" spans="1:10" ht="34.5" customHeight="1" x14ac:dyDescent="0.25">
      <c r="A23" s="335" t="s">
        <v>304</v>
      </c>
      <c r="B23" s="482">
        <v>901</v>
      </c>
      <c r="C23" s="268" t="s">
        <v>81</v>
      </c>
      <c r="D23" s="268" t="s">
        <v>83</v>
      </c>
      <c r="E23" s="268" t="s">
        <v>325</v>
      </c>
      <c r="F23" s="268"/>
      <c r="G23" s="337">
        <f>G24</f>
        <v>200.10550000000001</v>
      </c>
      <c r="H23" s="337">
        <f>H24</f>
        <v>200.10550000000001</v>
      </c>
      <c r="I23" s="337">
        <f t="shared" si="0"/>
        <v>100</v>
      </c>
    </row>
    <row r="24" spans="1:10" ht="78.75" x14ac:dyDescent="0.25">
      <c r="A24" s="335" t="s">
        <v>84</v>
      </c>
      <c r="B24" s="482">
        <v>901</v>
      </c>
      <c r="C24" s="268" t="s">
        <v>81</v>
      </c>
      <c r="D24" s="268" t="s">
        <v>83</v>
      </c>
      <c r="E24" s="268" t="s">
        <v>325</v>
      </c>
      <c r="F24" s="268" t="s">
        <v>85</v>
      </c>
      <c r="G24" s="337">
        <f>G25</f>
        <v>200.10550000000001</v>
      </c>
      <c r="H24" s="337">
        <f>H25</f>
        <v>200.10550000000001</v>
      </c>
      <c r="I24" s="337">
        <f t="shared" si="0"/>
        <v>100</v>
      </c>
    </row>
    <row r="25" spans="1:10" ht="31.5" x14ac:dyDescent="0.25">
      <c r="A25" s="335" t="s">
        <v>86</v>
      </c>
      <c r="B25" s="482">
        <v>901</v>
      </c>
      <c r="C25" s="268" t="s">
        <v>81</v>
      </c>
      <c r="D25" s="268" t="s">
        <v>83</v>
      </c>
      <c r="E25" s="268" t="s">
        <v>325</v>
      </c>
      <c r="F25" s="268" t="s">
        <v>87</v>
      </c>
      <c r="G25" s="337">
        <f>450-249.8945</f>
        <v>200.10550000000001</v>
      </c>
      <c r="H25" s="337">
        <v>200.10550000000001</v>
      </c>
      <c r="I25" s="337">
        <f t="shared" si="0"/>
        <v>100</v>
      </c>
    </row>
    <row r="26" spans="1:10" ht="31.5" x14ac:dyDescent="0.25">
      <c r="A26" s="335" t="s">
        <v>1085</v>
      </c>
      <c r="B26" s="482">
        <v>901</v>
      </c>
      <c r="C26" s="268" t="s">
        <v>81</v>
      </c>
      <c r="D26" s="268" t="s">
        <v>83</v>
      </c>
      <c r="E26" s="268" t="s">
        <v>1081</v>
      </c>
      <c r="F26" s="268"/>
      <c r="G26" s="337">
        <f>G27</f>
        <v>117.18</v>
      </c>
      <c r="H26" s="337">
        <f>H27</f>
        <v>117.18</v>
      </c>
      <c r="I26" s="337">
        <f t="shared" si="0"/>
        <v>100</v>
      </c>
    </row>
    <row r="27" spans="1:10" ht="78.75" x14ac:dyDescent="0.25">
      <c r="A27" s="335" t="s">
        <v>84</v>
      </c>
      <c r="B27" s="482">
        <v>901</v>
      </c>
      <c r="C27" s="268" t="s">
        <v>81</v>
      </c>
      <c r="D27" s="268" t="s">
        <v>83</v>
      </c>
      <c r="E27" s="268" t="s">
        <v>1081</v>
      </c>
      <c r="F27" s="268" t="s">
        <v>85</v>
      </c>
      <c r="G27" s="337">
        <f>G28</f>
        <v>117.18</v>
      </c>
      <c r="H27" s="337">
        <f>H28</f>
        <v>117.18</v>
      </c>
      <c r="I27" s="337">
        <f t="shared" si="0"/>
        <v>100</v>
      </c>
    </row>
    <row r="28" spans="1:10" ht="31.5" x14ac:dyDescent="0.25">
      <c r="A28" s="335" t="s">
        <v>86</v>
      </c>
      <c r="B28" s="482">
        <v>901</v>
      </c>
      <c r="C28" s="268" t="s">
        <v>81</v>
      </c>
      <c r="D28" s="268" t="s">
        <v>83</v>
      </c>
      <c r="E28" s="268" t="s">
        <v>1081</v>
      </c>
      <c r="F28" s="268" t="s">
        <v>87</v>
      </c>
      <c r="G28" s="337">
        <v>117.18</v>
      </c>
      <c r="H28" s="337">
        <v>117.18</v>
      </c>
      <c r="I28" s="337">
        <f t="shared" si="0"/>
        <v>100</v>
      </c>
    </row>
    <row r="29" spans="1:10" ht="34.5" customHeight="1" x14ac:dyDescent="0.25">
      <c r="A29" s="335" t="s">
        <v>1107</v>
      </c>
      <c r="B29" s="482">
        <v>901</v>
      </c>
      <c r="C29" s="268" t="s">
        <v>81</v>
      </c>
      <c r="D29" s="268" t="s">
        <v>83</v>
      </c>
      <c r="E29" s="268" t="s">
        <v>1106</v>
      </c>
      <c r="F29" s="268"/>
      <c r="G29" s="337">
        <f>G30</f>
        <v>60.99427</v>
      </c>
      <c r="H29" s="337">
        <f>H30</f>
        <v>60.99427</v>
      </c>
      <c r="I29" s="337">
        <f t="shared" si="0"/>
        <v>100</v>
      </c>
    </row>
    <row r="30" spans="1:10" ht="78.75" x14ac:dyDescent="0.25">
      <c r="A30" s="335" t="s">
        <v>84</v>
      </c>
      <c r="B30" s="482">
        <v>901</v>
      </c>
      <c r="C30" s="268" t="s">
        <v>81</v>
      </c>
      <c r="D30" s="268" t="s">
        <v>83</v>
      </c>
      <c r="E30" s="268" t="s">
        <v>1106</v>
      </c>
      <c r="F30" s="268" t="s">
        <v>85</v>
      </c>
      <c r="G30" s="337">
        <f>G31</f>
        <v>60.99427</v>
      </c>
      <c r="H30" s="337">
        <f>H31</f>
        <v>60.99427</v>
      </c>
      <c r="I30" s="337">
        <f t="shared" si="0"/>
        <v>100</v>
      </c>
    </row>
    <row r="31" spans="1:10" ht="31.5" x14ac:dyDescent="0.25">
      <c r="A31" s="335" t="s">
        <v>86</v>
      </c>
      <c r="B31" s="482">
        <v>901</v>
      </c>
      <c r="C31" s="268" t="s">
        <v>81</v>
      </c>
      <c r="D31" s="268" t="s">
        <v>83</v>
      </c>
      <c r="E31" s="268" t="s">
        <v>1106</v>
      </c>
      <c r="F31" s="268" t="s">
        <v>87</v>
      </c>
      <c r="G31" s="337">
        <f>47.28238+13.71189</f>
        <v>60.99427</v>
      </c>
      <c r="H31" s="337">
        <v>60.99427</v>
      </c>
      <c r="I31" s="337">
        <f t="shared" si="0"/>
        <v>100</v>
      </c>
      <c r="J31" s="341"/>
    </row>
    <row r="32" spans="1:10" ht="15.75" x14ac:dyDescent="0.25">
      <c r="A32" s="116" t="s">
        <v>651</v>
      </c>
      <c r="B32" s="432">
        <v>901</v>
      </c>
      <c r="C32" s="481" t="s">
        <v>81</v>
      </c>
      <c r="D32" s="481" t="s">
        <v>197</v>
      </c>
      <c r="E32" s="481"/>
      <c r="F32" s="481"/>
      <c r="G32" s="338">
        <f t="shared" ref="G32:H36" si="1">G33</f>
        <v>264.62720000000002</v>
      </c>
      <c r="H32" s="338">
        <f t="shared" si="1"/>
        <v>0</v>
      </c>
      <c r="I32" s="338">
        <f t="shared" si="0"/>
        <v>0</v>
      </c>
    </row>
    <row r="33" spans="1:10" ht="15.75" x14ac:dyDescent="0.25">
      <c r="A33" s="116" t="s">
        <v>97</v>
      </c>
      <c r="B33" s="432">
        <v>901</v>
      </c>
      <c r="C33" s="481" t="s">
        <v>81</v>
      </c>
      <c r="D33" s="481" t="s">
        <v>197</v>
      </c>
      <c r="E33" s="481" t="s">
        <v>329</v>
      </c>
      <c r="F33" s="481"/>
      <c r="G33" s="338">
        <f t="shared" si="1"/>
        <v>264.62720000000002</v>
      </c>
      <c r="H33" s="338">
        <f t="shared" si="1"/>
        <v>0</v>
      </c>
      <c r="I33" s="338">
        <f t="shared" si="0"/>
        <v>0</v>
      </c>
    </row>
    <row r="34" spans="1:10" ht="31.5" x14ac:dyDescent="0.25">
      <c r="A34" s="116" t="s">
        <v>330</v>
      </c>
      <c r="B34" s="432">
        <v>901</v>
      </c>
      <c r="C34" s="481" t="s">
        <v>81</v>
      </c>
      <c r="D34" s="481" t="s">
        <v>197</v>
      </c>
      <c r="E34" s="481" t="s">
        <v>328</v>
      </c>
      <c r="F34" s="481"/>
      <c r="G34" s="338">
        <f t="shared" si="1"/>
        <v>264.62720000000002</v>
      </c>
      <c r="H34" s="338">
        <f t="shared" si="1"/>
        <v>0</v>
      </c>
      <c r="I34" s="338">
        <f t="shared" si="0"/>
        <v>0</v>
      </c>
    </row>
    <row r="35" spans="1:10" ht="15.75" x14ac:dyDescent="0.25">
      <c r="A35" s="335" t="s">
        <v>536</v>
      </c>
      <c r="B35" s="482">
        <v>901</v>
      </c>
      <c r="C35" s="268" t="s">
        <v>81</v>
      </c>
      <c r="D35" s="268" t="s">
        <v>197</v>
      </c>
      <c r="E35" s="268" t="s">
        <v>537</v>
      </c>
      <c r="F35" s="268"/>
      <c r="G35" s="337">
        <f t="shared" si="1"/>
        <v>264.62720000000002</v>
      </c>
      <c r="H35" s="337">
        <f t="shared" si="1"/>
        <v>0</v>
      </c>
      <c r="I35" s="337">
        <f t="shared" si="0"/>
        <v>0</v>
      </c>
    </row>
    <row r="36" spans="1:10" ht="15.75" x14ac:dyDescent="0.25">
      <c r="A36" s="335" t="s">
        <v>92</v>
      </c>
      <c r="B36" s="482">
        <v>901</v>
      </c>
      <c r="C36" s="268" t="s">
        <v>81</v>
      </c>
      <c r="D36" s="268" t="s">
        <v>197</v>
      </c>
      <c r="E36" s="268" t="s">
        <v>537</v>
      </c>
      <c r="F36" s="268" t="s">
        <v>98</v>
      </c>
      <c r="G36" s="337">
        <f t="shared" si="1"/>
        <v>264.62720000000002</v>
      </c>
      <c r="H36" s="337">
        <f t="shared" si="1"/>
        <v>0</v>
      </c>
      <c r="I36" s="337">
        <f t="shared" si="0"/>
        <v>0</v>
      </c>
    </row>
    <row r="37" spans="1:10" ht="23.25" customHeight="1" x14ac:dyDescent="0.25">
      <c r="A37" s="335" t="s">
        <v>536</v>
      </c>
      <c r="B37" s="482">
        <v>901</v>
      </c>
      <c r="C37" s="268" t="s">
        <v>81</v>
      </c>
      <c r="D37" s="268" t="s">
        <v>197</v>
      </c>
      <c r="E37" s="268" t="s">
        <v>537</v>
      </c>
      <c r="F37" s="268" t="s">
        <v>538</v>
      </c>
      <c r="G37" s="337">
        <f>500-48.2-210.1728+200-177</f>
        <v>264.62720000000002</v>
      </c>
      <c r="H37" s="337">
        <v>0</v>
      </c>
      <c r="I37" s="337">
        <f t="shared" si="0"/>
        <v>0</v>
      </c>
    </row>
    <row r="38" spans="1:10" ht="15.75" x14ac:dyDescent="0.25">
      <c r="A38" s="116" t="s">
        <v>95</v>
      </c>
      <c r="B38" s="432">
        <v>901</v>
      </c>
      <c r="C38" s="481" t="s">
        <v>81</v>
      </c>
      <c r="D38" s="481" t="s">
        <v>96</v>
      </c>
      <c r="E38" s="481"/>
      <c r="F38" s="268"/>
      <c r="G38" s="337">
        <f t="shared" ref="G38:H42" si="2">G39</f>
        <v>177</v>
      </c>
      <c r="H38" s="337">
        <f t="shared" si="2"/>
        <v>177</v>
      </c>
      <c r="I38" s="337">
        <f t="shared" si="0"/>
        <v>100</v>
      </c>
      <c r="J38" s="281"/>
    </row>
    <row r="39" spans="1:10" ht="15.75" x14ac:dyDescent="0.25">
      <c r="A39" s="116" t="s">
        <v>97</v>
      </c>
      <c r="B39" s="432">
        <v>901</v>
      </c>
      <c r="C39" s="481" t="s">
        <v>81</v>
      </c>
      <c r="D39" s="481" t="s">
        <v>96</v>
      </c>
      <c r="E39" s="481" t="s">
        <v>329</v>
      </c>
      <c r="F39" s="268"/>
      <c r="G39" s="337">
        <f t="shared" si="2"/>
        <v>177</v>
      </c>
      <c r="H39" s="337">
        <f t="shared" si="2"/>
        <v>177</v>
      </c>
      <c r="I39" s="337">
        <f t="shared" si="0"/>
        <v>100</v>
      </c>
    </row>
    <row r="40" spans="1:10" ht="34.9" customHeight="1" x14ac:dyDescent="0.25">
      <c r="A40" s="116" t="s">
        <v>330</v>
      </c>
      <c r="B40" s="432">
        <v>901</v>
      </c>
      <c r="C40" s="481" t="s">
        <v>81</v>
      </c>
      <c r="D40" s="481" t="s">
        <v>96</v>
      </c>
      <c r="E40" s="481" t="s">
        <v>328</v>
      </c>
      <c r="F40" s="268"/>
      <c r="G40" s="337">
        <f t="shared" si="2"/>
        <v>177</v>
      </c>
      <c r="H40" s="337">
        <f t="shared" si="2"/>
        <v>177</v>
      </c>
      <c r="I40" s="337">
        <f t="shared" si="0"/>
        <v>100</v>
      </c>
    </row>
    <row r="41" spans="1:10" s="216" customFormat="1" ht="31.5" x14ac:dyDescent="0.25">
      <c r="A41" s="335" t="s">
        <v>851</v>
      </c>
      <c r="B41" s="482">
        <v>901</v>
      </c>
      <c r="C41" s="268" t="s">
        <v>81</v>
      </c>
      <c r="D41" s="268" t="s">
        <v>96</v>
      </c>
      <c r="E41" s="268" t="s">
        <v>838</v>
      </c>
      <c r="F41" s="268"/>
      <c r="G41" s="337">
        <f t="shared" si="2"/>
        <v>177</v>
      </c>
      <c r="H41" s="337">
        <f t="shared" si="2"/>
        <v>177</v>
      </c>
      <c r="I41" s="337">
        <f t="shared" si="0"/>
        <v>100</v>
      </c>
      <c r="J41" s="340"/>
    </row>
    <row r="42" spans="1:10" ht="31.5" x14ac:dyDescent="0.25">
      <c r="A42" s="335" t="s">
        <v>88</v>
      </c>
      <c r="B42" s="482">
        <v>901</v>
      </c>
      <c r="C42" s="268" t="s">
        <v>81</v>
      </c>
      <c r="D42" s="268" t="s">
        <v>96</v>
      </c>
      <c r="E42" s="268" t="s">
        <v>838</v>
      </c>
      <c r="F42" s="268" t="s">
        <v>89</v>
      </c>
      <c r="G42" s="337">
        <f t="shared" si="2"/>
        <v>177</v>
      </c>
      <c r="H42" s="337">
        <f t="shared" si="2"/>
        <v>177</v>
      </c>
      <c r="I42" s="337">
        <f t="shared" si="0"/>
        <v>100</v>
      </c>
    </row>
    <row r="43" spans="1:10" ht="31.5" x14ac:dyDescent="0.25">
      <c r="A43" s="335" t="s">
        <v>90</v>
      </c>
      <c r="B43" s="482">
        <v>901</v>
      </c>
      <c r="C43" s="268" t="s">
        <v>81</v>
      </c>
      <c r="D43" s="268" t="s">
        <v>96</v>
      </c>
      <c r="E43" s="268" t="s">
        <v>838</v>
      </c>
      <c r="F43" s="268" t="s">
        <v>91</v>
      </c>
      <c r="G43" s="337">
        <v>177</v>
      </c>
      <c r="H43" s="337">
        <v>177</v>
      </c>
      <c r="I43" s="337">
        <f t="shared" si="0"/>
        <v>100</v>
      </c>
    </row>
    <row r="44" spans="1:10" ht="15.75" x14ac:dyDescent="0.25">
      <c r="A44" s="115" t="s">
        <v>880</v>
      </c>
      <c r="B44" s="432">
        <v>902</v>
      </c>
      <c r="C44" s="268"/>
      <c r="D44" s="268"/>
      <c r="E44" s="268"/>
      <c r="F44" s="268"/>
      <c r="G44" s="338">
        <f>G45+G198+G235+G265+G191+G259</f>
        <v>122810.66300000003</v>
      </c>
      <c r="H44" s="338">
        <f>H45+H198+H235+H265+H191+H259</f>
        <v>121232.84258000001</v>
      </c>
      <c r="I44" s="338">
        <f t="shared" si="0"/>
        <v>98.715241509607338</v>
      </c>
      <c r="J44" s="281"/>
    </row>
    <row r="45" spans="1:10" ht="15.75" x14ac:dyDescent="0.25">
      <c r="A45" s="116" t="s">
        <v>80</v>
      </c>
      <c r="B45" s="432">
        <v>902</v>
      </c>
      <c r="C45" s="481" t="s">
        <v>81</v>
      </c>
      <c r="D45" s="268"/>
      <c r="E45" s="268"/>
      <c r="F45" s="268"/>
      <c r="G45" s="338">
        <f>G68+G134+G151+G143+G46</f>
        <v>87255.700230000031</v>
      </c>
      <c r="H45" s="338">
        <f>H68+H134+H151+H143+H46</f>
        <v>87163.20481000001</v>
      </c>
      <c r="I45" s="338">
        <f t="shared" si="0"/>
        <v>99.893994982842145</v>
      </c>
    </row>
    <row r="46" spans="1:10" ht="47.25" x14ac:dyDescent="0.25">
      <c r="A46" s="116" t="s">
        <v>227</v>
      </c>
      <c r="B46" s="432">
        <v>902</v>
      </c>
      <c r="C46" s="481" t="s">
        <v>81</v>
      </c>
      <c r="D46" s="481" t="s">
        <v>119</v>
      </c>
      <c r="E46" s="268"/>
      <c r="F46" s="268"/>
      <c r="G46" s="338">
        <f>G47</f>
        <v>7117.8675999999996</v>
      </c>
      <c r="H46" s="338">
        <f>H47</f>
        <v>7117.8676000000005</v>
      </c>
      <c r="I46" s="338">
        <f t="shared" si="0"/>
        <v>100.00000000000003</v>
      </c>
    </row>
    <row r="47" spans="1:10" ht="31.5" x14ac:dyDescent="0.25">
      <c r="A47" s="116" t="s">
        <v>362</v>
      </c>
      <c r="B47" s="432">
        <v>902</v>
      </c>
      <c r="C47" s="481" t="s">
        <v>81</v>
      </c>
      <c r="D47" s="481" t="s">
        <v>119</v>
      </c>
      <c r="E47" s="481" t="s">
        <v>321</v>
      </c>
      <c r="F47" s="268"/>
      <c r="G47" s="338">
        <f>G48+G63</f>
        <v>7117.8675999999996</v>
      </c>
      <c r="H47" s="338">
        <f>H48+H63</f>
        <v>7117.8676000000005</v>
      </c>
      <c r="I47" s="338">
        <f t="shared" si="0"/>
        <v>100.00000000000003</v>
      </c>
    </row>
    <row r="48" spans="1:10" ht="15.75" x14ac:dyDescent="0.25">
      <c r="A48" s="116" t="s">
        <v>363</v>
      </c>
      <c r="B48" s="432">
        <v>902</v>
      </c>
      <c r="C48" s="481" t="s">
        <v>81</v>
      </c>
      <c r="D48" s="481" t="s">
        <v>119</v>
      </c>
      <c r="E48" s="481" t="s">
        <v>322</v>
      </c>
      <c r="F48" s="268"/>
      <c r="G48" s="338">
        <f>G49+G54+G57+G60</f>
        <v>7117.8675999999996</v>
      </c>
      <c r="H48" s="338">
        <f>H49+H54+H57+H60</f>
        <v>7117.8676000000005</v>
      </c>
      <c r="I48" s="338">
        <f t="shared" si="0"/>
        <v>100.00000000000003</v>
      </c>
    </row>
    <row r="49" spans="1:10" ht="31.5" x14ac:dyDescent="0.25">
      <c r="A49" s="335" t="s">
        <v>228</v>
      </c>
      <c r="B49" s="482">
        <v>902</v>
      </c>
      <c r="C49" s="268" t="s">
        <v>81</v>
      </c>
      <c r="D49" s="268" t="s">
        <v>119</v>
      </c>
      <c r="E49" s="268" t="s">
        <v>638</v>
      </c>
      <c r="F49" s="268"/>
      <c r="G49" s="337">
        <f>G50+G52</f>
        <v>6956.3268199999993</v>
      </c>
      <c r="H49" s="337">
        <f>H50+H52</f>
        <v>6956.3268200000002</v>
      </c>
      <c r="I49" s="337">
        <f t="shared" si="0"/>
        <v>100.00000000000003</v>
      </c>
    </row>
    <row r="50" spans="1:10" ht="78.75" x14ac:dyDescent="0.25">
      <c r="A50" s="335" t="s">
        <v>84</v>
      </c>
      <c r="B50" s="482">
        <v>902</v>
      </c>
      <c r="C50" s="268" t="s">
        <v>81</v>
      </c>
      <c r="D50" s="268" t="s">
        <v>119</v>
      </c>
      <c r="E50" s="268" t="s">
        <v>638</v>
      </c>
      <c r="F50" s="268" t="s">
        <v>85</v>
      </c>
      <c r="G50" s="337">
        <f>G51</f>
        <v>6956.3268199999993</v>
      </c>
      <c r="H50" s="337">
        <f>H51</f>
        <v>6956.3268200000002</v>
      </c>
      <c r="I50" s="337">
        <f t="shared" si="0"/>
        <v>100.00000000000003</v>
      </c>
    </row>
    <row r="51" spans="1:10" ht="31.5" x14ac:dyDescent="0.25">
      <c r="A51" s="335" t="s">
        <v>86</v>
      </c>
      <c r="B51" s="482">
        <v>902</v>
      </c>
      <c r="C51" s="268" t="s">
        <v>81</v>
      </c>
      <c r="D51" s="268" t="s">
        <v>119</v>
      </c>
      <c r="E51" s="268" t="s">
        <v>638</v>
      </c>
      <c r="F51" s="268" t="s">
        <v>87</v>
      </c>
      <c r="G51" s="271">
        <f>6664.1+53.495+84+7.3+31.3+47.42+92.94+28.07-5.674-0.029-127.50551+80.91033</f>
        <v>6956.3268199999993</v>
      </c>
      <c r="H51" s="271">
        <v>6956.3268200000002</v>
      </c>
      <c r="I51" s="337">
        <f t="shared" si="0"/>
        <v>100.00000000000003</v>
      </c>
      <c r="J51" s="341"/>
    </row>
    <row r="52" spans="1:10" ht="31.5" hidden="1" x14ac:dyDescent="0.25">
      <c r="A52" s="335" t="s">
        <v>114</v>
      </c>
      <c r="B52" s="482">
        <v>902</v>
      </c>
      <c r="C52" s="268" t="s">
        <v>81</v>
      </c>
      <c r="D52" s="268" t="s">
        <v>119</v>
      </c>
      <c r="E52" s="268" t="s">
        <v>638</v>
      </c>
      <c r="F52" s="268" t="s">
        <v>89</v>
      </c>
      <c r="G52" s="337">
        <f>G53</f>
        <v>0</v>
      </c>
      <c r="H52" s="337">
        <f>H53</f>
        <v>0</v>
      </c>
      <c r="I52" s="337" t="e">
        <f t="shared" si="0"/>
        <v>#DIV/0!</v>
      </c>
    </row>
    <row r="53" spans="1:10" ht="31.5" hidden="1" x14ac:dyDescent="0.25">
      <c r="A53" s="335" t="s">
        <v>90</v>
      </c>
      <c r="B53" s="482">
        <v>902</v>
      </c>
      <c r="C53" s="268" t="s">
        <v>81</v>
      </c>
      <c r="D53" s="268" t="s">
        <v>119</v>
      </c>
      <c r="E53" s="268" t="s">
        <v>638</v>
      </c>
      <c r="F53" s="268" t="s">
        <v>91</v>
      </c>
      <c r="G53" s="337">
        <f>90-90</f>
        <v>0</v>
      </c>
      <c r="H53" s="337">
        <f>90-90</f>
        <v>0</v>
      </c>
      <c r="I53" s="337" t="e">
        <f t="shared" si="0"/>
        <v>#DIV/0!</v>
      </c>
    </row>
    <row r="54" spans="1:10" ht="31.5" hidden="1" x14ac:dyDescent="0.25">
      <c r="A54" s="335" t="s">
        <v>304</v>
      </c>
      <c r="B54" s="482">
        <v>902</v>
      </c>
      <c r="C54" s="268" t="s">
        <v>81</v>
      </c>
      <c r="D54" s="268" t="s">
        <v>119</v>
      </c>
      <c r="E54" s="268" t="s">
        <v>325</v>
      </c>
      <c r="F54" s="268"/>
      <c r="G54" s="337">
        <f>G55</f>
        <v>0</v>
      </c>
      <c r="H54" s="337">
        <f>H55</f>
        <v>0</v>
      </c>
      <c r="I54" s="337" t="e">
        <f t="shared" si="0"/>
        <v>#DIV/0!</v>
      </c>
    </row>
    <row r="55" spans="1:10" ht="78.75" hidden="1" x14ac:dyDescent="0.25">
      <c r="A55" s="335" t="s">
        <v>84</v>
      </c>
      <c r="B55" s="482">
        <v>902</v>
      </c>
      <c r="C55" s="268" t="s">
        <v>81</v>
      </c>
      <c r="D55" s="268" t="s">
        <v>119</v>
      </c>
      <c r="E55" s="268" t="s">
        <v>325</v>
      </c>
      <c r="F55" s="268" t="s">
        <v>85</v>
      </c>
      <c r="G55" s="337">
        <f>G56</f>
        <v>0</v>
      </c>
      <c r="H55" s="337">
        <f>H56</f>
        <v>0</v>
      </c>
      <c r="I55" s="337" t="e">
        <f t="shared" si="0"/>
        <v>#DIV/0!</v>
      </c>
    </row>
    <row r="56" spans="1:10" ht="31.5" hidden="1" x14ac:dyDescent="0.25">
      <c r="A56" s="335" t="s">
        <v>86</v>
      </c>
      <c r="B56" s="482">
        <v>902</v>
      </c>
      <c r="C56" s="268" t="s">
        <v>81</v>
      </c>
      <c r="D56" s="268" t="s">
        <v>119</v>
      </c>
      <c r="E56" s="268" t="s">
        <v>325</v>
      </c>
      <c r="F56" s="268" t="s">
        <v>87</v>
      </c>
      <c r="G56" s="337">
        <f>86-86</f>
        <v>0</v>
      </c>
      <c r="H56" s="337">
        <f>86-86</f>
        <v>0</v>
      </c>
      <c r="I56" s="337" t="e">
        <f t="shared" si="0"/>
        <v>#DIV/0!</v>
      </c>
    </row>
    <row r="57" spans="1:10" ht="31.5" x14ac:dyDescent="0.25">
      <c r="A57" s="335" t="s">
        <v>1085</v>
      </c>
      <c r="B57" s="482">
        <v>902</v>
      </c>
      <c r="C57" s="268" t="s">
        <v>81</v>
      </c>
      <c r="D57" s="268" t="s">
        <v>119</v>
      </c>
      <c r="E57" s="268" t="s">
        <v>1081</v>
      </c>
      <c r="F57" s="268"/>
      <c r="G57" s="337">
        <f>G58</f>
        <v>34.590000000000003</v>
      </c>
      <c r="H57" s="337">
        <f>H58</f>
        <v>34.590000000000003</v>
      </c>
      <c r="I57" s="337">
        <f t="shared" si="0"/>
        <v>100</v>
      </c>
    </row>
    <row r="58" spans="1:10" ht="78.75" x14ac:dyDescent="0.25">
      <c r="A58" s="335" t="s">
        <v>84</v>
      </c>
      <c r="B58" s="482">
        <v>902</v>
      </c>
      <c r="C58" s="268" t="s">
        <v>81</v>
      </c>
      <c r="D58" s="268" t="s">
        <v>119</v>
      </c>
      <c r="E58" s="268" t="s">
        <v>1081</v>
      </c>
      <c r="F58" s="268" t="s">
        <v>85</v>
      </c>
      <c r="G58" s="337">
        <f>G59</f>
        <v>34.590000000000003</v>
      </c>
      <c r="H58" s="337">
        <f>H59</f>
        <v>34.590000000000003</v>
      </c>
      <c r="I58" s="337">
        <f t="shared" si="0"/>
        <v>100</v>
      </c>
    </row>
    <row r="59" spans="1:10" ht="31.5" x14ac:dyDescent="0.25">
      <c r="A59" s="335" t="s">
        <v>86</v>
      </c>
      <c r="B59" s="482">
        <v>902</v>
      </c>
      <c r="C59" s="268" t="s">
        <v>81</v>
      </c>
      <c r="D59" s="268" t="s">
        <v>119</v>
      </c>
      <c r="E59" s="268" t="s">
        <v>1081</v>
      </c>
      <c r="F59" s="268" t="s">
        <v>87</v>
      </c>
      <c r="G59" s="337">
        <v>34.590000000000003</v>
      </c>
      <c r="H59" s="337">
        <v>34.590000000000003</v>
      </c>
      <c r="I59" s="337">
        <f t="shared" si="0"/>
        <v>100</v>
      </c>
    </row>
    <row r="60" spans="1:10" ht="33" customHeight="1" x14ac:dyDescent="0.25">
      <c r="A60" s="335" t="s">
        <v>1107</v>
      </c>
      <c r="B60" s="482">
        <v>902</v>
      </c>
      <c r="C60" s="268" t="s">
        <v>81</v>
      </c>
      <c r="D60" s="268" t="s">
        <v>119</v>
      </c>
      <c r="E60" s="268" t="s">
        <v>1106</v>
      </c>
      <c r="F60" s="268"/>
      <c r="G60" s="337">
        <f>G61</f>
        <v>126.95077999999999</v>
      </c>
      <c r="H60" s="337">
        <f>H61</f>
        <v>126.95077999999999</v>
      </c>
      <c r="I60" s="337">
        <f t="shared" si="0"/>
        <v>100</v>
      </c>
    </row>
    <row r="61" spans="1:10" ht="73.5" customHeight="1" x14ac:dyDescent="0.25">
      <c r="A61" s="335" t="s">
        <v>84</v>
      </c>
      <c r="B61" s="482">
        <v>902</v>
      </c>
      <c r="C61" s="268" t="s">
        <v>81</v>
      </c>
      <c r="D61" s="268" t="s">
        <v>119</v>
      </c>
      <c r="E61" s="268" t="s">
        <v>1106</v>
      </c>
      <c r="F61" s="268" t="s">
        <v>85</v>
      </c>
      <c r="G61" s="337">
        <f>G62</f>
        <v>126.95077999999999</v>
      </c>
      <c r="H61" s="337">
        <f>H62</f>
        <v>126.95077999999999</v>
      </c>
      <c r="I61" s="337">
        <f t="shared" si="0"/>
        <v>100</v>
      </c>
    </row>
    <row r="62" spans="1:10" ht="33" customHeight="1" x14ac:dyDescent="0.25">
      <c r="A62" s="335" t="s">
        <v>86</v>
      </c>
      <c r="B62" s="482">
        <v>902</v>
      </c>
      <c r="C62" s="268" t="s">
        <v>81</v>
      </c>
      <c r="D62" s="268" t="s">
        <v>119</v>
      </c>
      <c r="E62" s="268" t="s">
        <v>1106</v>
      </c>
      <c r="F62" s="268" t="s">
        <v>87</v>
      </c>
      <c r="G62" s="337">
        <f>110.10475+16.84603</f>
        <v>126.95077999999999</v>
      </c>
      <c r="H62" s="337">
        <v>126.95077999999999</v>
      </c>
      <c r="I62" s="337">
        <f t="shared" si="0"/>
        <v>100</v>
      </c>
    </row>
    <row r="63" spans="1:10" ht="31.5" hidden="1" x14ac:dyDescent="0.25">
      <c r="A63" s="116" t="s">
        <v>849</v>
      </c>
      <c r="B63" s="432">
        <v>902</v>
      </c>
      <c r="C63" s="481" t="s">
        <v>81</v>
      </c>
      <c r="D63" s="481" t="s">
        <v>119</v>
      </c>
      <c r="E63" s="481" t="s">
        <v>106</v>
      </c>
      <c r="F63" s="481"/>
      <c r="G63" s="338">
        <f t="shared" ref="G63:H66" si="3">G64</f>
        <v>0</v>
      </c>
      <c r="H63" s="338">
        <f t="shared" si="3"/>
        <v>0</v>
      </c>
      <c r="I63" s="337" t="e">
        <f t="shared" si="0"/>
        <v>#DIV/0!</v>
      </c>
    </row>
    <row r="64" spans="1:10" ht="63" hidden="1" x14ac:dyDescent="0.25">
      <c r="A64" s="213" t="s">
        <v>850</v>
      </c>
      <c r="B64" s="483">
        <v>902</v>
      </c>
      <c r="C64" s="481" t="s">
        <v>81</v>
      </c>
      <c r="D64" s="481" t="s">
        <v>119</v>
      </c>
      <c r="E64" s="484" t="s">
        <v>313</v>
      </c>
      <c r="F64" s="481"/>
      <c r="G64" s="338">
        <f t="shared" si="3"/>
        <v>0</v>
      </c>
      <c r="H64" s="338">
        <f t="shared" si="3"/>
        <v>0</v>
      </c>
      <c r="I64" s="337" t="e">
        <f t="shared" si="0"/>
        <v>#DIV/0!</v>
      </c>
    </row>
    <row r="65" spans="1:10" ht="59.1" hidden="1" customHeight="1" x14ac:dyDescent="0.25">
      <c r="A65" s="20" t="s">
        <v>256</v>
      </c>
      <c r="B65" s="482">
        <v>902</v>
      </c>
      <c r="C65" s="268" t="s">
        <v>81</v>
      </c>
      <c r="D65" s="268" t="s">
        <v>119</v>
      </c>
      <c r="E65" s="485" t="s">
        <v>422</v>
      </c>
      <c r="F65" s="268"/>
      <c r="G65" s="337">
        <f t="shared" si="3"/>
        <v>0</v>
      </c>
      <c r="H65" s="337">
        <f t="shared" si="3"/>
        <v>0</v>
      </c>
      <c r="I65" s="337" t="e">
        <f t="shared" si="0"/>
        <v>#DIV/0!</v>
      </c>
    </row>
    <row r="66" spans="1:10" ht="31.5" hidden="1" x14ac:dyDescent="0.25">
      <c r="A66" s="335" t="s">
        <v>88</v>
      </c>
      <c r="B66" s="482">
        <v>902</v>
      </c>
      <c r="C66" s="268" t="s">
        <v>81</v>
      </c>
      <c r="D66" s="268" t="s">
        <v>119</v>
      </c>
      <c r="E66" s="485" t="s">
        <v>422</v>
      </c>
      <c r="F66" s="268" t="s">
        <v>89</v>
      </c>
      <c r="G66" s="337">
        <f t="shared" si="3"/>
        <v>0</v>
      </c>
      <c r="H66" s="337">
        <f t="shared" si="3"/>
        <v>0</v>
      </c>
      <c r="I66" s="337" t="e">
        <f t="shared" si="0"/>
        <v>#DIV/0!</v>
      </c>
    </row>
    <row r="67" spans="1:10" ht="31.5" hidden="1" x14ac:dyDescent="0.25">
      <c r="A67" s="335" t="s">
        <v>90</v>
      </c>
      <c r="B67" s="482">
        <v>902</v>
      </c>
      <c r="C67" s="268" t="s">
        <v>81</v>
      </c>
      <c r="D67" s="268" t="s">
        <v>119</v>
      </c>
      <c r="E67" s="485" t="s">
        <v>422</v>
      </c>
      <c r="F67" s="268" t="s">
        <v>91</v>
      </c>
      <c r="G67" s="337"/>
      <c r="H67" s="337"/>
      <c r="I67" s="337" t="e">
        <f t="shared" si="0"/>
        <v>#DIV/0!</v>
      </c>
    </row>
    <row r="68" spans="1:10" ht="52.5" customHeight="1" x14ac:dyDescent="0.25">
      <c r="A68" s="116" t="s">
        <v>102</v>
      </c>
      <c r="B68" s="432">
        <v>902</v>
      </c>
      <c r="C68" s="481" t="s">
        <v>81</v>
      </c>
      <c r="D68" s="481" t="s">
        <v>103</v>
      </c>
      <c r="E68" s="481"/>
      <c r="F68" s="481"/>
      <c r="G68" s="338">
        <f>G69+G116</f>
        <v>78275.797400000025</v>
      </c>
      <c r="H68" s="338">
        <f>H69+H116</f>
        <v>78183.301980000004</v>
      </c>
      <c r="I68" s="338">
        <f t="shared" si="0"/>
        <v>99.881833947308948</v>
      </c>
      <c r="J68" s="281"/>
    </row>
    <row r="69" spans="1:10" ht="31.5" x14ac:dyDescent="0.25">
      <c r="A69" s="116" t="s">
        <v>362</v>
      </c>
      <c r="B69" s="432">
        <v>902</v>
      </c>
      <c r="C69" s="481" t="s">
        <v>81</v>
      </c>
      <c r="D69" s="481" t="s">
        <v>103</v>
      </c>
      <c r="E69" s="481" t="s">
        <v>321</v>
      </c>
      <c r="F69" s="481"/>
      <c r="G69" s="273">
        <f>G70+G97</f>
        <v>77740.624720000022</v>
      </c>
      <c r="H69" s="273">
        <f>H70+H97</f>
        <v>77648.129300000001</v>
      </c>
      <c r="I69" s="338">
        <f t="shared" si="0"/>
        <v>99.881020482748667</v>
      </c>
    </row>
    <row r="70" spans="1:10" ht="15.75" x14ac:dyDescent="0.25">
      <c r="A70" s="116" t="s">
        <v>363</v>
      </c>
      <c r="B70" s="432">
        <v>902</v>
      </c>
      <c r="C70" s="481" t="s">
        <v>81</v>
      </c>
      <c r="D70" s="481" t="s">
        <v>103</v>
      </c>
      <c r="E70" s="481" t="s">
        <v>322</v>
      </c>
      <c r="F70" s="481"/>
      <c r="G70" s="273">
        <f>G71+G80+G85+G91+G88+G94</f>
        <v>73321.503050000028</v>
      </c>
      <c r="H70" s="273">
        <f>H71+H80+H85+H91+H88+H94</f>
        <v>73261.407800000001</v>
      </c>
      <c r="I70" s="338">
        <f t="shared" si="0"/>
        <v>99.918038709655136</v>
      </c>
    </row>
    <row r="71" spans="1:10" ht="31.5" x14ac:dyDescent="0.25">
      <c r="A71" s="335" t="s">
        <v>346</v>
      </c>
      <c r="B71" s="482">
        <v>902</v>
      </c>
      <c r="C71" s="268" t="s">
        <v>81</v>
      </c>
      <c r="D71" s="268" t="s">
        <v>103</v>
      </c>
      <c r="E71" s="268" t="s">
        <v>323</v>
      </c>
      <c r="F71" s="268"/>
      <c r="G71" s="337">
        <f>G72+G74+G78+G76</f>
        <v>59076.628530000024</v>
      </c>
      <c r="H71" s="337">
        <f>H72+H74+H78+H76</f>
        <v>59024.903790000004</v>
      </c>
      <c r="I71" s="337">
        <f t="shared" si="0"/>
        <v>99.912444665027294</v>
      </c>
      <c r="J71" s="281"/>
    </row>
    <row r="72" spans="1:10" ht="62.1" customHeight="1" x14ac:dyDescent="0.25">
      <c r="A72" s="335" t="s">
        <v>84</v>
      </c>
      <c r="B72" s="482">
        <v>902</v>
      </c>
      <c r="C72" s="268" t="s">
        <v>81</v>
      </c>
      <c r="D72" s="268" t="s">
        <v>103</v>
      </c>
      <c r="E72" s="268" t="s">
        <v>323</v>
      </c>
      <c r="F72" s="268" t="s">
        <v>85</v>
      </c>
      <c r="G72" s="337">
        <f>G73</f>
        <v>52211.960000000021</v>
      </c>
      <c r="H72" s="337">
        <f>H73</f>
        <v>52162.1469</v>
      </c>
      <c r="I72" s="337">
        <f t="shared" si="0"/>
        <v>99.904594464563246</v>
      </c>
    </row>
    <row r="73" spans="1:10" ht="31.5" x14ac:dyDescent="0.25">
      <c r="A73" s="335" t="s">
        <v>86</v>
      </c>
      <c r="B73" s="482">
        <v>902</v>
      </c>
      <c r="C73" s="268" t="s">
        <v>81</v>
      </c>
      <c r="D73" s="268" t="s">
        <v>103</v>
      </c>
      <c r="E73" s="268" t="s">
        <v>323</v>
      </c>
      <c r="F73" s="268" t="s">
        <v>87</v>
      </c>
      <c r="G73" s="271">
        <f>50916.8-10-94.7-61.848+8.353+16.30452+0.04+1.85024+693.16+209.33+657.51275+190.67869-705.81787-26.236-0.00965+416.54232</f>
        <v>52211.960000000021</v>
      </c>
      <c r="H73" s="271">
        <v>52162.1469</v>
      </c>
      <c r="I73" s="337">
        <f t="shared" si="0"/>
        <v>99.904594464563246</v>
      </c>
      <c r="J73" s="341"/>
    </row>
    <row r="74" spans="1:10" ht="31.5" x14ac:dyDescent="0.25">
      <c r="A74" s="335" t="s">
        <v>88</v>
      </c>
      <c r="B74" s="482">
        <v>902</v>
      </c>
      <c r="C74" s="268" t="s">
        <v>81</v>
      </c>
      <c r="D74" s="268" t="s">
        <v>103</v>
      </c>
      <c r="E74" s="268" t="s">
        <v>323</v>
      </c>
      <c r="F74" s="268" t="s">
        <v>89</v>
      </c>
      <c r="G74" s="337">
        <f>G75</f>
        <v>6774.12853</v>
      </c>
      <c r="H74" s="337">
        <f>H75</f>
        <v>6772.2168899999997</v>
      </c>
      <c r="I74" s="337">
        <f t="shared" si="0"/>
        <v>99.971780281529433</v>
      </c>
    </row>
    <row r="75" spans="1:10" ht="31.5" x14ac:dyDescent="0.25">
      <c r="A75" s="335" t="s">
        <v>90</v>
      </c>
      <c r="B75" s="482">
        <v>902</v>
      </c>
      <c r="C75" s="268" t="s">
        <v>81</v>
      </c>
      <c r="D75" s="268" t="s">
        <v>103</v>
      </c>
      <c r="E75" s="268" t="s">
        <v>323</v>
      </c>
      <c r="F75" s="268" t="s">
        <v>91</v>
      </c>
      <c r="G75" s="271">
        <f>6723.7+524.08-20.805-136.253+8+86+64.5-15.632-155.42881+36.7+85.4+112.15+190-75-187.5095+2.1+6-19.525-0.04176-4.34144-0.61652+24.39215-32.12764-0.44171-0.0099-20.315-439.67634+18.83</f>
        <v>6774.12853</v>
      </c>
      <c r="H75" s="271">
        <v>6772.2168899999997</v>
      </c>
      <c r="I75" s="337">
        <f t="shared" si="0"/>
        <v>99.971780281529433</v>
      </c>
      <c r="J75" s="341"/>
    </row>
    <row r="76" spans="1:10" ht="38.25" hidden="1" customHeight="1" x14ac:dyDescent="0.25">
      <c r="A76" s="335" t="s">
        <v>137</v>
      </c>
      <c r="B76" s="482">
        <v>902</v>
      </c>
      <c r="C76" s="268" t="s">
        <v>81</v>
      </c>
      <c r="D76" s="268" t="s">
        <v>103</v>
      </c>
      <c r="E76" s="268" t="s">
        <v>323</v>
      </c>
      <c r="F76" s="268" t="s">
        <v>138</v>
      </c>
      <c r="G76" s="271">
        <f>G77</f>
        <v>0</v>
      </c>
      <c r="H76" s="271">
        <f>H77</f>
        <v>0</v>
      </c>
      <c r="I76" s="337" t="e">
        <f t="shared" ref="I76:I139" si="4">H76/G76*100</f>
        <v>#DIV/0!</v>
      </c>
    </row>
    <row r="77" spans="1:10" ht="27" hidden="1" customHeight="1" x14ac:dyDescent="0.25">
      <c r="A77" s="335" t="s">
        <v>139</v>
      </c>
      <c r="B77" s="482">
        <v>902</v>
      </c>
      <c r="C77" s="268" t="s">
        <v>81</v>
      </c>
      <c r="D77" s="268" t="s">
        <v>103</v>
      </c>
      <c r="E77" s="268" t="s">
        <v>323</v>
      </c>
      <c r="F77" s="268" t="s">
        <v>140</v>
      </c>
      <c r="G77" s="271">
        <f>755-755</f>
        <v>0</v>
      </c>
      <c r="H77" s="271">
        <f>755-755</f>
        <v>0</v>
      </c>
      <c r="I77" s="337" t="e">
        <f t="shared" si="4"/>
        <v>#DIV/0!</v>
      </c>
    </row>
    <row r="78" spans="1:10" ht="15.75" x14ac:dyDescent="0.25">
      <c r="A78" s="335" t="s">
        <v>92</v>
      </c>
      <c r="B78" s="482">
        <v>902</v>
      </c>
      <c r="C78" s="268" t="s">
        <v>81</v>
      </c>
      <c r="D78" s="268" t="s">
        <v>103</v>
      </c>
      <c r="E78" s="268" t="s">
        <v>323</v>
      </c>
      <c r="F78" s="268" t="s">
        <v>98</v>
      </c>
      <c r="G78" s="337">
        <f>G79</f>
        <v>90.54</v>
      </c>
      <c r="H78" s="337">
        <f>H79</f>
        <v>90.54</v>
      </c>
      <c r="I78" s="337">
        <f t="shared" si="4"/>
        <v>100</v>
      </c>
    </row>
    <row r="79" spans="1:10" ht="15.75" x14ac:dyDescent="0.25">
      <c r="A79" s="335" t="s">
        <v>223</v>
      </c>
      <c r="B79" s="482">
        <v>902</v>
      </c>
      <c r="C79" s="268" t="s">
        <v>81</v>
      </c>
      <c r="D79" s="268" t="s">
        <v>103</v>
      </c>
      <c r="E79" s="268" t="s">
        <v>323</v>
      </c>
      <c r="F79" s="268" t="s">
        <v>94</v>
      </c>
      <c r="G79" s="271">
        <f>75.01-27.79-6.68+50</f>
        <v>90.54</v>
      </c>
      <c r="H79" s="271">
        <v>90.54</v>
      </c>
      <c r="I79" s="337">
        <f t="shared" si="4"/>
        <v>100</v>
      </c>
      <c r="J79" s="341"/>
    </row>
    <row r="80" spans="1:10" ht="31.5" x14ac:dyDescent="0.25">
      <c r="A80" s="335" t="s">
        <v>305</v>
      </c>
      <c r="B80" s="482">
        <v>902</v>
      </c>
      <c r="C80" s="268" t="s">
        <v>81</v>
      </c>
      <c r="D80" s="268" t="s">
        <v>103</v>
      </c>
      <c r="E80" s="268" t="s">
        <v>324</v>
      </c>
      <c r="F80" s="268"/>
      <c r="G80" s="271">
        <f>G81+G83</f>
        <v>11013.48041</v>
      </c>
      <c r="H80" s="271">
        <f>H81+H83</f>
        <v>11013.48041</v>
      </c>
      <c r="I80" s="337">
        <f t="shared" si="4"/>
        <v>100</v>
      </c>
    </row>
    <row r="81" spans="1:10" ht="78.75" x14ac:dyDescent="0.25">
      <c r="A81" s="335" t="s">
        <v>84</v>
      </c>
      <c r="B81" s="482">
        <v>902</v>
      </c>
      <c r="C81" s="268" t="s">
        <v>81</v>
      </c>
      <c r="D81" s="268" t="s">
        <v>103</v>
      </c>
      <c r="E81" s="268" t="s">
        <v>324</v>
      </c>
      <c r="F81" s="268" t="s">
        <v>85</v>
      </c>
      <c r="G81" s="271">
        <f>G82</f>
        <v>9511.6096899999993</v>
      </c>
      <c r="H81" s="271">
        <f>H82</f>
        <v>9511.6096899999993</v>
      </c>
      <c r="I81" s="337">
        <f t="shared" si="4"/>
        <v>100</v>
      </c>
    </row>
    <row r="82" spans="1:10" ht="31.5" x14ac:dyDescent="0.25">
      <c r="A82" s="335" t="s">
        <v>86</v>
      </c>
      <c r="B82" s="482">
        <v>902</v>
      </c>
      <c r="C82" s="268" t="s">
        <v>81</v>
      </c>
      <c r="D82" s="268" t="s">
        <v>103</v>
      </c>
      <c r="E82" s="268" t="s">
        <v>324</v>
      </c>
      <c r="F82" s="268" t="s">
        <v>87</v>
      </c>
      <c r="G82" s="271">
        <f>8774.66+10-6.57+118.96+35.93+87.9145+25.49521+311.43333+153.78665</f>
        <v>9511.6096899999993</v>
      </c>
      <c r="H82" s="271">
        <v>9511.6096899999993</v>
      </c>
      <c r="I82" s="337">
        <f t="shared" si="4"/>
        <v>100</v>
      </c>
      <c r="J82" s="341"/>
    </row>
    <row r="83" spans="1:10" ht="31.5" x14ac:dyDescent="0.25">
      <c r="A83" s="335" t="s">
        <v>88</v>
      </c>
      <c r="B83" s="482">
        <v>902</v>
      </c>
      <c r="C83" s="268" t="s">
        <v>81</v>
      </c>
      <c r="D83" s="268" t="s">
        <v>103</v>
      </c>
      <c r="E83" s="268" t="s">
        <v>324</v>
      </c>
      <c r="F83" s="268" t="s">
        <v>89</v>
      </c>
      <c r="G83" s="271">
        <f>G84</f>
        <v>1501.8707200000001</v>
      </c>
      <c r="H83" s="271">
        <f>H84</f>
        <v>1501.8707199999999</v>
      </c>
      <c r="I83" s="337">
        <f t="shared" si="4"/>
        <v>99.999999999999986</v>
      </c>
    </row>
    <row r="84" spans="1:10" ht="31.5" x14ac:dyDescent="0.25">
      <c r="A84" s="335" t="s">
        <v>90</v>
      </c>
      <c r="B84" s="482">
        <v>902</v>
      </c>
      <c r="C84" s="268" t="s">
        <v>81</v>
      </c>
      <c r="D84" s="268" t="s">
        <v>103</v>
      </c>
      <c r="E84" s="268" t="s">
        <v>324</v>
      </c>
      <c r="F84" s="268" t="s">
        <v>91</v>
      </c>
      <c r="G84" s="271">
        <f>1367.2+14.65+113.603-8+10.5+10.5+0.9+187.5095-5.58893-189.2345-0.16794-0.00041</f>
        <v>1501.8707200000001</v>
      </c>
      <c r="H84" s="271">
        <v>1501.8707199999999</v>
      </c>
      <c r="I84" s="337">
        <f t="shared" si="4"/>
        <v>99.999999999999986</v>
      </c>
      <c r="J84" s="341"/>
    </row>
    <row r="85" spans="1:10" ht="31.5" x14ac:dyDescent="0.25">
      <c r="A85" s="335" t="s">
        <v>304</v>
      </c>
      <c r="B85" s="482">
        <v>902</v>
      </c>
      <c r="C85" s="268" t="s">
        <v>81</v>
      </c>
      <c r="D85" s="268" t="s">
        <v>103</v>
      </c>
      <c r="E85" s="268" t="s">
        <v>325</v>
      </c>
      <c r="F85" s="268"/>
      <c r="G85" s="337">
        <f>G86</f>
        <v>1807.4034800000002</v>
      </c>
      <c r="H85" s="337">
        <f>H86</f>
        <v>1807.4034799999999</v>
      </c>
      <c r="I85" s="337">
        <f t="shared" si="4"/>
        <v>99.999999999999986</v>
      </c>
    </row>
    <row r="86" spans="1:10" ht="78.75" x14ac:dyDescent="0.25">
      <c r="A86" s="335" t="s">
        <v>84</v>
      </c>
      <c r="B86" s="482">
        <v>902</v>
      </c>
      <c r="C86" s="268" t="s">
        <v>81</v>
      </c>
      <c r="D86" s="268" t="s">
        <v>103</v>
      </c>
      <c r="E86" s="268" t="s">
        <v>325</v>
      </c>
      <c r="F86" s="268" t="s">
        <v>85</v>
      </c>
      <c r="G86" s="337">
        <f>G87</f>
        <v>1807.4034800000002</v>
      </c>
      <c r="H86" s="337">
        <f>H87</f>
        <v>1807.4034799999999</v>
      </c>
      <c r="I86" s="337">
        <f t="shared" si="4"/>
        <v>99.999999999999986</v>
      </c>
    </row>
    <row r="87" spans="1:10" ht="31.5" x14ac:dyDescent="0.25">
      <c r="A87" s="335" t="s">
        <v>86</v>
      </c>
      <c r="B87" s="482">
        <v>902</v>
      </c>
      <c r="C87" s="268" t="s">
        <v>81</v>
      </c>
      <c r="D87" s="268" t="s">
        <v>103</v>
      </c>
      <c r="E87" s="268" t="s">
        <v>325</v>
      </c>
      <c r="F87" s="268" t="s">
        <v>87</v>
      </c>
      <c r="G87" s="337">
        <f>1505+120.708+198-16.30452</f>
        <v>1807.4034800000002</v>
      </c>
      <c r="H87" s="337">
        <v>1807.4034799999999</v>
      </c>
      <c r="I87" s="337">
        <f t="shared" si="4"/>
        <v>99.999999999999986</v>
      </c>
      <c r="J87" s="282"/>
    </row>
    <row r="88" spans="1:10" ht="31.5" x14ac:dyDescent="0.25">
      <c r="A88" s="335" t="s">
        <v>1085</v>
      </c>
      <c r="B88" s="482">
        <v>902</v>
      </c>
      <c r="C88" s="268" t="s">
        <v>81</v>
      </c>
      <c r="D88" s="268" t="s">
        <v>103</v>
      </c>
      <c r="E88" s="268" t="s">
        <v>1081</v>
      </c>
      <c r="F88" s="268"/>
      <c r="G88" s="337">
        <f>G89</f>
        <v>497.85</v>
      </c>
      <c r="H88" s="337">
        <f>H89</f>
        <v>497.85</v>
      </c>
      <c r="I88" s="337">
        <f t="shared" si="4"/>
        <v>100</v>
      </c>
      <c r="J88" s="330"/>
    </row>
    <row r="89" spans="1:10" ht="78.75" x14ac:dyDescent="0.25">
      <c r="A89" s="335" t="s">
        <v>84</v>
      </c>
      <c r="B89" s="482">
        <v>902</v>
      </c>
      <c r="C89" s="268" t="s">
        <v>81</v>
      </c>
      <c r="D89" s="268" t="s">
        <v>103</v>
      </c>
      <c r="E89" s="268" t="s">
        <v>1081</v>
      </c>
      <c r="F89" s="268" t="s">
        <v>85</v>
      </c>
      <c r="G89" s="337">
        <f>G90</f>
        <v>497.85</v>
      </c>
      <c r="H89" s="337">
        <f>H90</f>
        <v>497.85</v>
      </c>
      <c r="I89" s="337">
        <f t="shared" si="4"/>
        <v>100</v>
      </c>
      <c r="J89" s="330"/>
    </row>
    <row r="90" spans="1:10" ht="31.5" x14ac:dyDescent="0.25">
      <c r="A90" s="335" t="s">
        <v>86</v>
      </c>
      <c r="B90" s="482">
        <v>902</v>
      </c>
      <c r="C90" s="268" t="s">
        <v>81</v>
      </c>
      <c r="D90" s="268" t="s">
        <v>103</v>
      </c>
      <c r="E90" s="268" t="s">
        <v>1081</v>
      </c>
      <c r="F90" s="268" t="s">
        <v>87</v>
      </c>
      <c r="G90" s="337">
        <v>497.85</v>
      </c>
      <c r="H90" s="337">
        <v>497.85</v>
      </c>
      <c r="I90" s="337">
        <f t="shared" si="4"/>
        <v>100</v>
      </c>
      <c r="J90" s="330"/>
    </row>
    <row r="91" spans="1:10" ht="47.25" x14ac:dyDescent="0.25">
      <c r="A91" s="313" t="s">
        <v>1075</v>
      </c>
      <c r="B91" s="482">
        <v>902</v>
      </c>
      <c r="C91" s="268" t="s">
        <v>81</v>
      </c>
      <c r="D91" s="268" t="s">
        <v>103</v>
      </c>
      <c r="E91" s="268" t="s">
        <v>1076</v>
      </c>
      <c r="F91" s="268"/>
      <c r="G91" s="337">
        <f t="shared" ref="G91:H92" si="5">G92</f>
        <v>691.3</v>
      </c>
      <c r="H91" s="337">
        <f t="shared" si="5"/>
        <v>682.92948999999999</v>
      </c>
      <c r="I91" s="337">
        <f t="shared" si="4"/>
        <v>98.789163894112548</v>
      </c>
      <c r="J91" s="330"/>
    </row>
    <row r="92" spans="1:10" ht="78.75" x14ac:dyDescent="0.25">
      <c r="A92" s="335" t="s">
        <v>84</v>
      </c>
      <c r="B92" s="482">
        <v>902</v>
      </c>
      <c r="C92" s="268" t="s">
        <v>81</v>
      </c>
      <c r="D92" s="268" t="s">
        <v>103</v>
      </c>
      <c r="E92" s="268" t="s">
        <v>1076</v>
      </c>
      <c r="F92" s="268" t="s">
        <v>85</v>
      </c>
      <c r="G92" s="337">
        <f t="shared" si="5"/>
        <v>691.3</v>
      </c>
      <c r="H92" s="337">
        <f t="shared" si="5"/>
        <v>682.92948999999999</v>
      </c>
      <c r="I92" s="337">
        <f t="shared" si="4"/>
        <v>98.789163894112548</v>
      </c>
      <c r="J92" s="330"/>
    </row>
    <row r="93" spans="1:10" ht="31.5" x14ac:dyDescent="0.25">
      <c r="A93" s="335" t="s">
        <v>86</v>
      </c>
      <c r="B93" s="482">
        <v>902</v>
      </c>
      <c r="C93" s="268" t="s">
        <v>81</v>
      </c>
      <c r="D93" s="268" t="s">
        <v>103</v>
      </c>
      <c r="E93" s="268" t="s">
        <v>1076</v>
      </c>
      <c r="F93" s="268" t="s">
        <v>87</v>
      </c>
      <c r="G93" s="337">
        <v>691.3</v>
      </c>
      <c r="H93" s="337">
        <v>682.92948999999999</v>
      </c>
      <c r="I93" s="337">
        <f t="shared" si="4"/>
        <v>98.789163894112548</v>
      </c>
      <c r="J93" s="330"/>
    </row>
    <row r="94" spans="1:10" ht="37.15" customHeight="1" x14ac:dyDescent="0.25">
      <c r="A94" s="335" t="s">
        <v>1107</v>
      </c>
      <c r="B94" s="482">
        <v>902</v>
      </c>
      <c r="C94" s="268" t="s">
        <v>81</v>
      </c>
      <c r="D94" s="268" t="s">
        <v>103</v>
      </c>
      <c r="E94" s="268" t="s">
        <v>1106</v>
      </c>
      <c r="F94" s="268"/>
      <c r="G94" s="337">
        <f>G95</f>
        <v>234.84063000000003</v>
      </c>
      <c r="H94" s="337">
        <f>H95</f>
        <v>234.84063</v>
      </c>
      <c r="I94" s="337">
        <f t="shared" si="4"/>
        <v>99.999999999999986</v>
      </c>
      <c r="J94" s="330"/>
    </row>
    <row r="95" spans="1:10" ht="78.75" x14ac:dyDescent="0.25">
      <c r="A95" s="335" t="s">
        <v>84</v>
      </c>
      <c r="B95" s="482">
        <v>902</v>
      </c>
      <c r="C95" s="268" t="s">
        <v>81</v>
      </c>
      <c r="D95" s="268" t="s">
        <v>103</v>
      </c>
      <c r="E95" s="268" t="s">
        <v>1106</v>
      </c>
      <c r="F95" s="268" t="s">
        <v>85</v>
      </c>
      <c r="G95" s="337">
        <f>G96</f>
        <v>234.84063000000003</v>
      </c>
      <c r="H95" s="337">
        <f>H96</f>
        <v>234.84063</v>
      </c>
      <c r="I95" s="337">
        <f t="shared" si="4"/>
        <v>99.999999999999986</v>
      </c>
      <c r="J95" s="330"/>
    </row>
    <row r="96" spans="1:10" ht="31.5" x14ac:dyDescent="0.25">
      <c r="A96" s="335" t="s">
        <v>86</v>
      </c>
      <c r="B96" s="482">
        <v>902</v>
      </c>
      <c r="C96" s="268" t="s">
        <v>81</v>
      </c>
      <c r="D96" s="268" t="s">
        <v>103</v>
      </c>
      <c r="E96" s="268" t="s">
        <v>1106</v>
      </c>
      <c r="F96" s="268" t="s">
        <v>87</v>
      </c>
      <c r="G96" s="337">
        <f>1305.27096-1124.90471+52.30621-2.66383+4.832</f>
        <v>234.84063000000003</v>
      </c>
      <c r="H96" s="337">
        <v>234.84063</v>
      </c>
      <c r="I96" s="337">
        <f t="shared" si="4"/>
        <v>99.999999999999986</v>
      </c>
      <c r="J96" s="341"/>
    </row>
    <row r="97" spans="1:10" ht="31.5" x14ac:dyDescent="0.25">
      <c r="A97" s="116" t="s">
        <v>338</v>
      </c>
      <c r="B97" s="432">
        <v>902</v>
      </c>
      <c r="C97" s="481" t="s">
        <v>81</v>
      </c>
      <c r="D97" s="481" t="s">
        <v>103</v>
      </c>
      <c r="E97" s="481" t="s">
        <v>326</v>
      </c>
      <c r="F97" s="481"/>
      <c r="G97" s="338">
        <f>G98+G101+G106+G111</f>
        <v>4419.1216700000004</v>
      </c>
      <c r="H97" s="338">
        <f>H98+H101+H106+H111</f>
        <v>4386.7214999999997</v>
      </c>
      <c r="I97" s="338">
        <f t="shared" si="4"/>
        <v>99.266818783923611</v>
      </c>
    </row>
    <row r="98" spans="1:10" ht="35.450000000000003" hidden="1" customHeight="1" x14ac:dyDescent="0.25">
      <c r="A98" s="335" t="s">
        <v>273</v>
      </c>
      <c r="B98" s="482">
        <v>902</v>
      </c>
      <c r="C98" s="268" t="s">
        <v>81</v>
      </c>
      <c r="D98" s="268" t="s">
        <v>103</v>
      </c>
      <c r="E98" s="268" t="s">
        <v>364</v>
      </c>
      <c r="F98" s="481"/>
      <c r="G98" s="337">
        <f>G99</f>
        <v>0</v>
      </c>
      <c r="H98" s="337">
        <f>H99</f>
        <v>0</v>
      </c>
      <c r="I98" s="337" t="e">
        <f t="shared" si="4"/>
        <v>#DIV/0!</v>
      </c>
    </row>
    <row r="99" spans="1:10" ht="31.5" hidden="1" x14ac:dyDescent="0.25">
      <c r="A99" s="335" t="s">
        <v>88</v>
      </c>
      <c r="B99" s="482">
        <v>902</v>
      </c>
      <c r="C99" s="268" t="s">
        <v>81</v>
      </c>
      <c r="D99" s="268" t="s">
        <v>103</v>
      </c>
      <c r="E99" s="268" t="s">
        <v>364</v>
      </c>
      <c r="F99" s="268" t="s">
        <v>89</v>
      </c>
      <c r="G99" s="337">
        <f>G100</f>
        <v>0</v>
      </c>
      <c r="H99" s="337">
        <f>H100</f>
        <v>0</v>
      </c>
      <c r="I99" s="337" t="e">
        <f t="shared" si="4"/>
        <v>#DIV/0!</v>
      </c>
    </row>
    <row r="100" spans="1:10" ht="31.5" hidden="1" x14ac:dyDescent="0.25">
      <c r="A100" s="335" t="s">
        <v>90</v>
      </c>
      <c r="B100" s="482">
        <v>902</v>
      </c>
      <c r="C100" s="268" t="s">
        <v>81</v>
      </c>
      <c r="D100" s="268" t="s">
        <v>103</v>
      </c>
      <c r="E100" s="268" t="s">
        <v>364</v>
      </c>
      <c r="F100" s="268" t="s">
        <v>91</v>
      </c>
      <c r="G100" s="337">
        <v>0</v>
      </c>
      <c r="H100" s="337">
        <v>0</v>
      </c>
      <c r="I100" s="337" t="e">
        <f t="shared" si="4"/>
        <v>#DIV/0!</v>
      </c>
    </row>
    <row r="101" spans="1:10" ht="47.25" x14ac:dyDescent="0.25">
      <c r="A101" s="20" t="s">
        <v>111</v>
      </c>
      <c r="B101" s="482">
        <v>902</v>
      </c>
      <c r="C101" s="268" t="s">
        <v>81</v>
      </c>
      <c r="D101" s="268" t="s">
        <v>103</v>
      </c>
      <c r="E101" s="268" t="s">
        <v>365</v>
      </c>
      <c r="F101" s="268"/>
      <c r="G101" s="337">
        <f>G102+G104</f>
        <v>565.9</v>
      </c>
      <c r="H101" s="337">
        <f>H102+H104</f>
        <v>565.9</v>
      </c>
      <c r="I101" s="337">
        <f t="shared" si="4"/>
        <v>100</v>
      </c>
    </row>
    <row r="102" spans="1:10" ht="78.75" x14ac:dyDescent="0.25">
      <c r="A102" s="335" t="s">
        <v>84</v>
      </c>
      <c r="B102" s="482">
        <v>902</v>
      </c>
      <c r="C102" s="268" t="s">
        <v>81</v>
      </c>
      <c r="D102" s="268" t="s">
        <v>103</v>
      </c>
      <c r="E102" s="268" t="s">
        <v>365</v>
      </c>
      <c r="F102" s="268" t="s">
        <v>85</v>
      </c>
      <c r="G102" s="337">
        <f>G103</f>
        <v>565.9</v>
      </c>
      <c r="H102" s="337">
        <f>H103</f>
        <v>565.9</v>
      </c>
      <c r="I102" s="337">
        <f t="shared" si="4"/>
        <v>100</v>
      </c>
    </row>
    <row r="103" spans="1:10" ht="31.5" x14ac:dyDescent="0.25">
      <c r="A103" s="335" t="s">
        <v>86</v>
      </c>
      <c r="B103" s="482">
        <v>902</v>
      </c>
      <c r="C103" s="268" t="s">
        <v>81</v>
      </c>
      <c r="D103" s="268" t="s">
        <v>103</v>
      </c>
      <c r="E103" s="268" t="s">
        <v>365</v>
      </c>
      <c r="F103" s="268" t="s">
        <v>87</v>
      </c>
      <c r="G103" s="337">
        <f>472.9+64.914+28.086</f>
        <v>565.9</v>
      </c>
      <c r="H103" s="337">
        <v>565.9</v>
      </c>
      <c r="I103" s="337">
        <f t="shared" si="4"/>
        <v>100</v>
      </c>
      <c r="J103" s="283"/>
    </row>
    <row r="104" spans="1:10" ht="31.5" hidden="1" x14ac:dyDescent="0.25">
      <c r="A104" s="335" t="s">
        <v>88</v>
      </c>
      <c r="B104" s="482">
        <v>902</v>
      </c>
      <c r="C104" s="268" t="s">
        <v>81</v>
      </c>
      <c r="D104" s="268" t="s">
        <v>103</v>
      </c>
      <c r="E104" s="268" t="s">
        <v>365</v>
      </c>
      <c r="F104" s="268" t="s">
        <v>89</v>
      </c>
      <c r="G104" s="337">
        <f>G105</f>
        <v>0</v>
      </c>
      <c r="H104" s="337">
        <f>H105</f>
        <v>0</v>
      </c>
      <c r="I104" s="337" t="e">
        <f t="shared" si="4"/>
        <v>#DIV/0!</v>
      </c>
    </row>
    <row r="105" spans="1:10" ht="31.5" hidden="1" x14ac:dyDescent="0.25">
      <c r="A105" s="335" t="s">
        <v>90</v>
      </c>
      <c r="B105" s="482">
        <v>902</v>
      </c>
      <c r="C105" s="268" t="s">
        <v>81</v>
      </c>
      <c r="D105" s="268" t="s">
        <v>103</v>
      </c>
      <c r="E105" s="268" t="s">
        <v>365</v>
      </c>
      <c r="F105" s="268" t="s">
        <v>91</v>
      </c>
      <c r="G105" s="337">
        <f>93-93</f>
        <v>0</v>
      </c>
      <c r="H105" s="337"/>
      <c r="I105" s="337" t="e">
        <f t="shared" si="4"/>
        <v>#DIV/0!</v>
      </c>
    </row>
    <row r="106" spans="1:10" ht="31.5" x14ac:dyDescent="0.25">
      <c r="A106" s="20" t="s">
        <v>113</v>
      </c>
      <c r="B106" s="482">
        <v>902</v>
      </c>
      <c r="C106" s="268" t="s">
        <v>81</v>
      </c>
      <c r="D106" s="268" t="s">
        <v>103</v>
      </c>
      <c r="E106" s="268" t="s">
        <v>366</v>
      </c>
      <c r="F106" s="268"/>
      <c r="G106" s="337">
        <f>G107+G109</f>
        <v>1630.2</v>
      </c>
      <c r="H106" s="337">
        <f>H107+H109</f>
        <v>1630.2</v>
      </c>
      <c r="I106" s="337">
        <f t="shared" si="4"/>
        <v>100</v>
      </c>
    </row>
    <row r="107" spans="1:10" ht="78.75" x14ac:dyDescent="0.25">
      <c r="A107" s="335" t="s">
        <v>84</v>
      </c>
      <c r="B107" s="482">
        <v>902</v>
      </c>
      <c r="C107" s="268" t="s">
        <v>81</v>
      </c>
      <c r="D107" s="268" t="s">
        <v>103</v>
      </c>
      <c r="E107" s="268" t="s">
        <v>366</v>
      </c>
      <c r="F107" s="268" t="s">
        <v>85</v>
      </c>
      <c r="G107" s="337">
        <f>G108</f>
        <v>1489.4</v>
      </c>
      <c r="H107" s="337">
        <f>H108</f>
        <v>1489.4</v>
      </c>
      <c r="I107" s="337">
        <f t="shared" si="4"/>
        <v>100</v>
      </c>
    </row>
    <row r="108" spans="1:10" ht="31.5" x14ac:dyDescent="0.25">
      <c r="A108" s="335" t="s">
        <v>86</v>
      </c>
      <c r="B108" s="482">
        <v>902</v>
      </c>
      <c r="C108" s="268" t="s">
        <v>81</v>
      </c>
      <c r="D108" s="268" t="s">
        <v>103</v>
      </c>
      <c r="E108" s="268" t="s">
        <v>366</v>
      </c>
      <c r="F108" s="268" t="s">
        <v>87</v>
      </c>
      <c r="G108" s="337">
        <f>1548.8-140.8+62.5+18.9</f>
        <v>1489.4</v>
      </c>
      <c r="H108" s="337">
        <v>1489.4</v>
      </c>
      <c r="I108" s="337">
        <f t="shared" si="4"/>
        <v>100</v>
      </c>
    </row>
    <row r="109" spans="1:10" ht="31.5" x14ac:dyDescent="0.25">
      <c r="A109" s="335" t="s">
        <v>114</v>
      </c>
      <c r="B109" s="482">
        <v>902</v>
      </c>
      <c r="C109" s="268" t="s">
        <v>81</v>
      </c>
      <c r="D109" s="268" t="s">
        <v>103</v>
      </c>
      <c r="E109" s="268" t="s">
        <v>366</v>
      </c>
      <c r="F109" s="268" t="s">
        <v>89</v>
      </c>
      <c r="G109" s="337">
        <f>G110</f>
        <v>140.80000000000001</v>
      </c>
      <c r="H109" s="337">
        <f>H110</f>
        <v>140.80000000000001</v>
      </c>
      <c r="I109" s="337">
        <f t="shared" si="4"/>
        <v>100</v>
      </c>
    </row>
    <row r="110" spans="1:10" ht="31.5" x14ac:dyDescent="0.25">
      <c r="A110" s="335" t="s">
        <v>90</v>
      </c>
      <c r="B110" s="482">
        <v>902</v>
      </c>
      <c r="C110" s="268" t="s">
        <v>81</v>
      </c>
      <c r="D110" s="268" t="s">
        <v>103</v>
      </c>
      <c r="E110" s="268" t="s">
        <v>366</v>
      </c>
      <c r="F110" s="268" t="s">
        <v>91</v>
      </c>
      <c r="G110" s="337">
        <v>140.80000000000001</v>
      </c>
      <c r="H110" s="337">
        <v>140.80000000000001</v>
      </c>
      <c r="I110" s="337">
        <f t="shared" si="4"/>
        <v>100</v>
      </c>
    </row>
    <row r="111" spans="1:10" ht="47.25" x14ac:dyDescent="0.25">
      <c r="A111" s="335" t="s">
        <v>852</v>
      </c>
      <c r="B111" s="482">
        <v>902</v>
      </c>
      <c r="C111" s="268" t="s">
        <v>81</v>
      </c>
      <c r="D111" s="268" t="s">
        <v>103</v>
      </c>
      <c r="E111" s="268" t="s">
        <v>767</v>
      </c>
      <c r="F111" s="268"/>
      <c r="G111" s="337">
        <f>G112+G114</f>
        <v>2223.0216700000001</v>
      </c>
      <c r="H111" s="337">
        <f>H112+H114</f>
        <v>2190.6214999999997</v>
      </c>
      <c r="I111" s="337">
        <f t="shared" si="4"/>
        <v>98.542516681809929</v>
      </c>
    </row>
    <row r="112" spans="1:10" ht="78.75" x14ac:dyDescent="0.25">
      <c r="A112" s="335" t="s">
        <v>84</v>
      </c>
      <c r="B112" s="482">
        <v>902</v>
      </c>
      <c r="C112" s="268" t="s">
        <v>81</v>
      </c>
      <c r="D112" s="268" t="s">
        <v>103</v>
      </c>
      <c r="E112" s="268" t="s">
        <v>767</v>
      </c>
      <c r="F112" s="268" t="s">
        <v>85</v>
      </c>
      <c r="G112" s="337">
        <f>G113</f>
        <v>2096.5216700000001</v>
      </c>
      <c r="H112" s="337">
        <f>H113</f>
        <v>2064.12727</v>
      </c>
      <c r="I112" s="337">
        <f t="shared" si="4"/>
        <v>98.454850218648104</v>
      </c>
    </row>
    <row r="113" spans="1:10" ht="31.5" x14ac:dyDescent="0.25">
      <c r="A113" s="335" t="s">
        <v>86</v>
      </c>
      <c r="B113" s="482">
        <v>902</v>
      </c>
      <c r="C113" s="268" t="s">
        <v>81</v>
      </c>
      <c r="D113" s="268" t="s">
        <v>103</v>
      </c>
      <c r="E113" s="268" t="s">
        <v>767</v>
      </c>
      <c r="F113" s="268" t="s">
        <v>87</v>
      </c>
      <c r="G113" s="337">
        <f>1919.8+65.5+85.42448+25.79719</f>
        <v>2096.5216700000001</v>
      </c>
      <c r="H113" s="337">
        <v>2064.12727</v>
      </c>
      <c r="I113" s="337">
        <f t="shared" si="4"/>
        <v>98.454850218648104</v>
      </c>
    </row>
    <row r="114" spans="1:10" ht="31.5" x14ac:dyDescent="0.25">
      <c r="A114" s="335" t="s">
        <v>88</v>
      </c>
      <c r="B114" s="482">
        <v>902</v>
      </c>
      <c r="C114" s="268" t="s">
        <v>81</v>
      </c>
      <c r="D114" s="268" t="s">
        <v>103</v>
      </c>
      <c r="E114" s="268" t="s">
        <v>767</v>
      </c>
      <c r="F114" s="268" t="s">
        <v>89</v>
      </c>
      <c r="G114" s="337">
        <f>G115</f>
        <v>126.5</v>
      </c>
      <c r="H114" s="337">
        <f>H115</f>
        <v>126.49423</v>
      </c>
      <c r="I114" s="337">
        <f t="shared" si="4"/>
        <v>99.995438735177871</v>
      </c>
    </row>
    <row r="115" spans="1:10" ht="31.5" x14ac:dyDescent="0.25">
      <c r="A115" s="335" t="s">
        <v>90</v>
      </c>
      <c r="B115" s="482">
        <v>902</v>
      </c>
      <c r="C115" s="268" t="s">
        <v>81</v>
      </c>
      <c r="D115" s="268" t="s">
        <v>103</v>
      </c>
      <c r="E115" s="268" t="s">
        <v>767</v>
      </c>
      <c r="F115" s="268" t="s">
        <v>91</v>
      </c>
      <c r="G115" s="337">
        <f>192-142.5+77</f>
        <v>126.5</v>
      </c>
      <c r="H115" s="337">
        <v>126.49423</v>
      </c>
      <c r="I115" s="337">
        <f t="shared" si="4"/>
        <v>99.995438735177871</v>
      </c>
    </row>
    <row r="116" spans="1:10" ht="31.5" x14ac:dyDescent="0.25">
      <c r="A116" s="116" t="s">
        <v>849</v>
      </c>
      <c r="B116" s="432">
        <v>902</v>
      </c>
      <c r="C116" s="481" t="s">
        <v>81</v>
      </c>
      <c r="D116" s="481" t="s">
        <v>103</v>
      </c>
      <c r="E116" s="481" t="s">
        <v>106</v>
      </c>
      <c r="F116" s="481"/>
      <c r="G116" s="338">
        <f>G117+G121+G130</f>
        <v>535.17268000000001</v>
      </c>
      <c r="H116" s="338">
        <f>H117+H121+H130</f>
        <v>535.17268000000001</v>
      </c>
      <c r="I116" s="338">
        <f t="shared" si="4"/>
        <v>100</v>
      </c>
    </row>
    <row r="117" spans="1:10" ht="63" x14ac:dyDescent="0.25">
      <c r="A117" s="30" t="s">
        <v>887</v>
      </c>
      <c r="B117" s="432">
        <v>902</v>
      </c>
      <c r="C117" s="481" t="s">
        <v>81</v>
      </c>
      <c r="D117" s="481" t="s">
        <v>103</v>
      </c>
      <c r="E117" s="484" t="s">
        <v>312</v>
      </c>
      <c r="F117" s="481"/>
      <c r="G117" s="338">
        <f t="shared" ref="G117:H119" si="6">G118</f>
        <v>506.87268</v>
      </c>
      <c r="H117" s="338">
        <f t="shared" si="6"/>
        <v>506.87268</v>
      </c>
      <c r="I117" s="338">
        <f t="shared" si="4"/>
        <v>100</v>
      </c>
    </row>
    <row r="118" spans="1:10" ht="47.25" x14ac:dyDescent="0.25">
      <c r="A118" s="19" t="s">
        <v>626</v>
      </c>
      <c r="B118" s="482">
        <v>902</v>
      </c>
      <c r="C118" s="268" t="s">
        <v>81</v>
      </c>
      <c r="D118" s="268" t="s">
        <v>103</v>
      </c>
      <c r="E118" s="485" t="s">
        <v>306</v>
      </c>
      <c r="F118" s="268"/>
      <c r="G118" s="337">
        <f t="shared" si="6"/>
        <v>506.87268</v>
      </c>
      <c r="H118" s="337">
        <f t="shared" si="6"/>
        <v>506.87268</v>
      </c>
      <c r="I118" s="337">
        <f t="shared" si="4"/>
        <v>100</v>
      </c>
    </row>
    <row r="119" spans="1:10" ht="31.5" x14ac:dyDescent="0.25">
      <c r="A119" s="335" t="s">
        <v>88</v>
      </c>
      <c r="B119" s="482">
        <v>902</v>
      </c>
      <c r="C119" s="268" t="s">
        <v>81</v>
      </c>
      <c r="D119" s="268" t="s">
        <v>103</v>
      </c>
      <c r="E119" s="485" t="s">
        <v>306</v>
      </c>
      <c r="F119" s="268" t="s">
        <v>89</v>
      </c>
      <c r="G119" s="337">
        <f t="shared" si="6"/>
        <v>506.87268</v>
      </c>
      <c r="H119" s="337">
        <f t="shared" si="6"/>
        <v>506.87268</v>
      </c>
      <c r="I119" s="337">
        <f t="shared" si="4"/>
        <v>100</v>
      </c>
    </row>
    <row r="120" spans="1:10" ht="31.5" x14ac:dyDescent="0.25">
      <c r="A120" s="335" t="s">
        <v>90</v>
      </c>
      <c r="B120" s="482">
        <v>902</v>
      </c>
      <c r="C120" s="268" t="s">
        <v>81</v>
      </c>
      <c r="D120" s="268" t="s">
        <v>103</v>
      </c>
      <c r="E120" s="485" t="s">
        <v>306</v>
      </c>
      <c r="F120" s="268" t="s">
        <v>91</v>
      </c>
      <c r="G120" s="337">
        <f>526-10.5-8.627-0.00032</f>
        <v>506.87268</v>
      </c>
      <c r="H120" s="337">
        <v>506.87268</v>
      </c>
      <c r="I120" s="337">
        <f t="shared" si="4"/>
        <v>100</v>
      </c>
      <c r="J120" s="331"/>
    </row>
    <row r="121" spans="1:10" ht="69.75" customHeight="1" x14ac:dyDescent="0.25">
      <c r="A121" s="213" t="s">
        <v>850</v>
      </c>
      <c r="B121" s="483">
        <v>902</v>
      </c>
      <c r="C121" s="481" t="s">
        <v>81</v>
      </c>
      <c r="D121" s="481" t="s">
        <v>103</v>
      </c>
      <c r="E121" s="484" t="s">
        <v>313</v>
      </c>
      <c r="F121" s="481"/>
      <c r="G121" s="338">
        <f>G122+G127</f>
        <v>28.3</v>
      </c>
      <c r="H121" s="338">
        <f>H122+H127</f>
        <v>28.3</v>
      </c>
      <c r="I121" s="338">
        <f t="shared" si="4"/>
        <v>100</v>
      </c>
    </row>
    <row r="122" spans="1:10" ht="47.25" x14ac:dyDescent="0.25">
      <c r="A122" s="66" t="s">
        <v>107</v>
      </c>
      <c r="B122" s="482">
        <v>902</v>
      </c>
      <c r="C122" s="268" t="s">
        <v>81</v>
      </c>
      <c r="D122" s="268" t="s">
        <v>103</v>
      </c>
      <c r="E122" s="485" t="s">
        <v>307</v>
      </c>
      <c r="F122" s="268"/>
      <c r="G122" s="337">
        <f>G123+G125</f>
        <v>28.3</v>
      </c>
      <c r="H122" s="337">
        <f>H123+H125</f>
        <v>28.3</v>
      </c>
      <c r="I122" s="337">
        <f t="shared" si="4"/>
        <v>100</v>
      </c>
    </row>
    <row r="123" spans="1:10" ht="78.75" x14ac:dyDescent="0.25">
      <c r="A123" s="335" t="s">
        <v>84</v>
      </c>
      <c r="B123" s="482">
        <v>902</v>
      </c>
      <c r="C123" s="268" t="s">
        <v>81</v>
      </c>
      <c r="D123" s="268" t="s">
        <v>103</v>
      </c>
      <c r="E123" s="485" t="s">
        <v>307</v>
      </c>
      <c r="F123" s="268" t="s">
        <v>85</v>
      </c>
      <c r="G123" s="337">
        <f>G124</f>
        <v>17.300000000000004</v>
      </c>
      <c r="H123" s="337">
        <f>H124</f>
        <v>17.3</v>
      </c>
      <c r="I123" s="337">
        <f t="shared" si="4"/>
        <v>99.999999999999972</v>
      </c>
    </row>
    <row r="124" spans="1:10" ht="31.5" x14ac:dyDescent="0.25">
      <c r="A124" s="335" t="s">
        <v>86</v>
      </c>
      <c r="B124" s="482">
        <v>902</v>
      </c>
      <c r="C124" s="268" t="s">
        <v>81</v>
      </c>
      <c r="D124" s="268" t="s">
        <v>103</v>
      </c>
      <c r="E124" s="485" t="s">
        <v>307</v>
      </c>
      <c r="F124" s="268" t="s">
        <v>87</v>
      </c>
      <c r="G124" s="337">
        <f>37.2-19.9</f>
        <v>17.300000000000004</v>
      </c>
      <c r="H124" s="337">
        <v>17.3</v>
      </c>
      <c r="I124" s="337">
        <f t="shared" si="4"/>
        <v>99.999999999999972</v>
      </c>
    </row>
    <row r="125" spans="1:10" ht="31.5" x14ac:dyDescent="0.25">
      <c r="A125" s="335" t="s">
        <v>88</v>
      </c>
      <c r="B125" s="482">
        <v>902</v>
      </c>
      <c r="C125" s="268" t="s">
        <v>81</v>
      </c>
      <c r="D125" s="268" t="s">
        <v>103</v>
      </c>
      <c r="E125" s="485" t="s">
        <v>307</v>
      </c>
      <c r="F125" s="268" t="s">
        <v>89</v>
      </c>
      <c r="G125" s="337">
        <f>G126</f>
        <v>10.999999999999996</v>
      </c>
      <c r="H125" s="337">
        <f>H126</f>
        <v>11</v>
      </c>
      <c r="I125" s="337">
        <f t="shared" si="4"/>
        <v>100.00000000000003</v>
      </c>
    </row>
    <row r="126" spans="1:10" ht="31.5" x14ac:dyDescent="0.25">
      <c r="A126" s="335" t="s">
        <v>90</v>
      </c>
      <c r="B126" s="482">
        <v>902</v>
      </c>
      <c r="C126" s="268" t="s">
        <v>81</v>
      </c>
      <c r="D126" s="268" t="s">
        <v>103</v>
      </c>
      <c r="E126" s="485" t="s">
        <v>307</v>
      </c>
      <c r="F126" s="268" t="s">
        <v>91</v>
      </c>
      <c r="G126" s="337">
        <f>39.8-28.8</f>
        <v>10.999999999999996</v>
      </c>
      <c r="H126" s="337">
        <v>11</v>
      </c>
      <c r="I126" s="337">
        <f t="shared" si="4"/>
        <v>100.00000000000003</v>
      </c>
    </row>
    <row r="127" spans="1:10" ht="47.25" hidden="1" x14ac:dyDescent="0.25">
      <c r="A127" s="20" t="s">
        <v>504</v>
      </c>
      <c r="B127" s="482">
        <v>902</v>
      </c>
      <c r="C127" s="268" t="s">
        <v>81</v>
      </c>
      <c r="D127" s="268" t="s">
        <v>103</v>
      </c>
      <c r="E127" s="485" t="s">
        <v>422</v>
      </c>
      <c r="F127" s="268"/>
      <c r="G127" s="337">
        <f>G128</f>
        <v>0</v>
      </c>
      <c r="H127" s="337">
        <f>H128</f>
        <v>0</v>
      </c>
      <c r="I127" s="337" t="e">
        <f t="shared" si="4"/>
        <v>#DIV/0!</v>
      </c>
    </row>
    <row r="128" spans="1:10" ht="31.5" hidden="1" x14ac:dyDescent="0.25">
      <c r="A128" s="335" t="s">
        <v>88</v>
      </c>
      <c r="B128" s="482">
        <v>902</v>
      </c>
      <c r="C128" s="268" t="s">
        <v>81</v>
      </c>
      <c r="D128" s="268" t="s">
        <v>103</v>
      </c>
      <c r="E128" s="485" t="s">
        <v>422</v>
      </c>
      <c r="F128" s="268" t="s">
        <v>89</v>
      </c>
      <c r="G128" s="337">
        <f>G129</f>
        <v>0</v>
      </c>
      <c r="H128" s="337">
        <f>H129</f>
        <v>0</v>
      </c>
      <c r="I128" s="337" t="e">
        <f t="shared" si="4"/>
        <v>#DIV/0!</v>
      </c>
    </row>
    <row r="129" spans="1:10" ht="31.5" hidden="1" x14ac:dyDescent="0.25">
      <c r="A129" s="335" t="s">
        <v>90</v>
      </c>
      <c r="B129" s="482">
        <v>902</v>
      </c>
      <c r="C129" s="268" t="s">
        <v>81</v>
      </c>
      <c r="D129" s="268" t="s">
        <v>103</v>
      </c>
      <c r="E129" s="485" t="s">
        <v>257</v>
      </c>
      <c r="F129" s="268" t="s">
        <v>91</v>
      </c>
      <c r="G129" s="337">
        <v>0</v>
      </c>
      <c r="H129" s="337">
        <v>0</v>
      </c>
      <c r="I129" s="337" t="e">
        <f t="shared" si="4"/>
        <v>#DIV/0!</v>
      </c>
    </row>
    <row r="130" spans="1:10" ht="51" hidden="1" customHeight="1" x14ac:dyDescent="0.25">
      <c r="A130" s="82" t="s">
        <v>432</v>
      </c>
      <c r="B130" s="432">
        <v>902</v>
      </c>
      <c r="C130" s="481" t="s">
        <v>81</v>
      </c>
      <c r="D130" s="481" t="s">
        <v>103</v>
      </c>
      <c r="E130" s="484" t="s">
        <v>314</v>
      </c>
      <c r="F130" s="481"/>
      <c r="G130" s="338">
        <f t="shared" ref="G130:H132" si="7">G131</f>
        <v>0</v>
      </c>
      <c r="H130" s="338">
        <f t="shared" si="7"/>
        <v>0</v>
      </c>
      <c r="I130" s="337" t="e">
        <f t="shared" si="4"/>
        <v>#DIV/0!</v>
      </c>
    </row>
    <row r="131" spans="1:10" ht="31.5" hidden="1" x14ac:dyDescent="0.25">
      <c r="A131" s="21" t="s">
        <v>112</v>
      </c>
      <c r="B131" s="482">
        <v>902</v>
      </c>
      <c r="C131" s="268" t="s">
        <v>81</v>
      </c>
      <c r="D131" s="268" t="s">
        <v>103</v>
      </c>
      <c r="E131" s="485" t="s">
        <v>308</v>
      </c>
      <c r="F131" s="268"/>
      <c r="G131" s="337">
        <f t="shared" si="7"/>
        <v>0</v>
      </c>
      <c r="H131" s="337">
        <f t="shared" si="7"/>
        <v>0</v>
      </c>
      <c r="I131" s="337" t="e">
        <f t="shared" si="4"/>
        <v>#DIV/0!</v>
      </c>
    </row>
    <row r="132" spans="1:10" ht="31.5" hidden="1" x14ac:dyDescent="0.25">
      <c r="A132" s="335" t="s">
        <v>88</v>
      </c>
      <c r="B132" s="482">
        <v>902</v>
      </c>
      <c r="C132" s="268" t="s">
        <v>81</v>
      </c>
      <c r="D132" s="268" t="s">
        <v>103</v>
      </c>
      <c r="E132" s="485" t="s">
        <v>308</v>
      </c>
      <c r="F132" s="268" t="s">
        <v>89</v>
      </c>
      <c r="G132" s="337">
        <f t="shared" si="7"/>
        <v>0</v>
      </c>
      <c r="H132" s="337">
        <f t="shared" si="7"/>
        <v>0</v>
      </c>
      <c r="I132" s="337" t="e">
        <f t="shared" si="4"/>
        <v>#DIV/0!</v>
      </c>
    </row>
    <row r="133" spans="1:10" ht="31.5" hidden="1" x14ac:dyDescent="0.25">
      <c r="A133" s="335" t="s">
        <v>90</v>
      </c>
      <c r="B133" s="482">
        <v>902</v>
      </c>
      <c r="C133" s="268" t="s">
        <v>81</v>
      </c>
      <c r="D133" s="268" t="s">
        <v>103</v>
      </c>
      <c r="E133" s="485" t="s">
        <v>308</v>
      </c>
      <c r="F133" s="268" t="s">
        <v>91</v>
      </c>
      <c r="G133" s="337"/>
      <c r="H133" s="337"/>
      <c r="I133" s="337" t="e">
        <f t="shared" si="4"/>
        <v>#DIV/0!</v>
      </c>
    </row>
    <row r="134" spans="1:10" ht="47.25" x14ac:dyDescent="0.25">
      <c r="A134" s="116" t="s">
        <v>82</v>
      </c>
      <c r="B134" s="432">
        <v>902</v>
      </c>
      <c r="C134" s="481" t="s">
        <v>81</v>
      </c>
      <c r="D134" s="481" t="s">
        <v>83</v>
      </c>
      <c r="E134" s="481"/>
      <c r="F134" s="268"/>
      <c r="G134" s="338">
        <f>G135</f>
        <v>1765.5952299999999</v>
      </c>
      <c r="H134" s="338">
        <f>H135</f>
        <v>1765.5952299999999</v>
      </c>
      <c r="I134" s="338">
        <f t="shared" si="4"/>
        <v>100</v>
      </c>
    </row>
    <row r="135" spans="1:10" ht="39.200000000000003" customHeight="1" x14ac:dyDescent="0.25">
      <c r="A135" s="116" t="s">
        <v>362</v>
      </c>
      <c r="B135" s="432">
        <v>902</v>
      </c>
      <c r="C135" s="481" t="s">
        <v>81</v>
      </c>
      <c r="D135" s="481" t="s">
        <v>83</v>
      </c>
      <c r="E135" s="481" t="s">
        <v>321</v>
      </c>
      <c r="F135" s="481"/>
      <c r="G135" s="338">
        <f>G136</f>
        <v>1765.5952299999999</v>
      </c>
      <c r="H135" s="338">
        <f>H136</f>
        <v>1765.5952299999999</v>
      </c>
      <c r="I135" s="338">
        <f t="shared" si="4"/>
        <v>100</v>
      </c>
    </row>
    <row r="136" spans="1:10" ht="15.75" x14ac:dyDescent="0.25">
      <c r="A136" s="116" t="s">
        <v>363</v>
      </c>
      <c r="B136" s="432">
        <v>902</v>
      </c>
      <c r="C136" s="481" t="s">
        <v>81</v>
      </c>
      <c r="D136" s="481" t="s">
        <v>83</v>
      </c>
      <c r="E136" s="481" t="s">
        <v>322</v>
      </c>
      <c r="F136" s="481"/>
      <c r="G136" s="338">
        <f>G137+G140</f>
        <v>1765.5952299999999</v>
      </c>
      <c r="H136" s="338">
        <f>H137+H140</f>
        <v>1765.5952299999999</v>
      </c>
      <c r="I136" s="338">
        <f t="shared" si="4"/>
        <v>100</v>
      </c>
    </row>
    <row r="137" spans="1:10" ht="31.5" x14ac:dyDescent="0.25">
      <c r="A137" s="335" t="s">
        <v>346</v>
      </c>
      <c r="B137" s="482">
        <v>902</v>
      </c>
      <c r="C137" s="268" t="s">
        <v>81</v>
      </c>
      <c r="D137" s="268" t="s">
        <v>83</v>
      </c>
      <c r="E137" s="268" t="s">
        <v>323</v>
      </c>
      <c r="F137" s="268"/>
      <c r="G137" s="337">
        <f>G138</f>
        <v>1705.6032299999999</v>
      </c>
      <c r="H137" s="337">
        <f>H138</f>
        <v>1705.6032299999999</v>
      </c>
      <c r="I137" s="337">
        <f t="shared" si="4"/>
        <v>100</v>
      </c>
    </row>
    <row r="138" spans="1:10" ht="78.75" x14ac:dyDescent="0.25">
      <c r="A138" s="335" t="s">
        <v>84</v>
      </c>
      <c r="B138" s="482">
        <v>902</v>
      </c>
      <c r="C138" s="268" t="s">
        <v>81</v>
      </c>
      <c r="D138" s="268" t="s">
        <v>83</v>
      </c>
      <c r="E138" s="268" t="s">
        <v>323</v>
      </c>
      <c r="F138" s="268" t="s">
        <v>85</v>
      </c>
      <c r="G138" s="337">
        <f>G139</f>
        <v>1705.6032299999999</v>
      </c>
      <c r="H138" s="337">
        <f>H139</f>
        <v>1705.6032299999999</v>
      </c>
      <c r="I138" s="337">
        <f t="shared" si="4"/>
        <v>100</v>
      </c>
    </row>
    <row r="139" spans="1:10" ht="31.5" x14ac:dyDescent="0.25">
      <c r="A139" s="335" t="s">
        <v>86</v>
      </c>
      <c r="B139" s="482">
        <v>902</v>
      </c>
      <c r="C139" s="268" t="s">
        <v>81</v>
      </c>
      <c r="D139" s="268" t="s">
        <v>83</v>
      </c>
      <c r="E139" s="268" t="s">
        <v>323</v>
      </c>
      <c r="F139" s="268" t="s">
        <v>87</v>
      </c>
      <c r="G139" s="271">
        <f>1857.1+24.98+7.55-142.68046-41.34631</f>
        <v>1705.6032299999999</v>
      </c>
      <c r="H139" s="271">
        <v>1705.6032299999999</v>
      </c>
      <c r="I139" s="337">
        <f t="shared" si="4"/>
        <v>100</v>
      </c>
      <c r="J139" s="341"/>
    </row>
    <row r="140" spans="1:10" ht="31.7" customHeight="1" x14ac:dyDescent="0.25">
      <c r="A140" s="335" t="s">
        <v>304</v>
      </c>
      <c r="B140" s="482">
        <v>902</v>
      </c>
      <c r="C140" s="268" t="s">
        <v>81</v>
      </c>
      <c r="D140" s="268" t="s">
        <v>83</v>
      </c>
      <c r="E140" s="268" t="s">
        <v>325</v>
      </c>
      <c r="F140" s="268"/>
      <c r="G140" s="337">
        <f>G141</f>
        <v>59.992000000000004</v>
      </c>
      <c r="H140" s="337">
        <f>H141</f>
        <v>59.991999999999997</v>
      </c>
      <c r="I140" s="337">
        <f t="shared" ref="I140:I203" si="8">H140/G140*100</f>
        <v>99.999999999999986</v>
      </c>
    </row>
    <row r="141" spans="1:10" ht="42" customHeight="1" x14ac:dyDescent="0.25">
      <c r="A141" s="335" t="s">
        <v>84</v>
      </c>
      <c r="B141" s="482">
        <v>902</v>
      </c>
      <c r="C141" s="268" t="s">
        <v>81</v>
      </c>
      <c r="D141" s="268" t="s">
        <v>83</v>
      </c>
      <c r="E141" s="268" t="s">
        <v>325</v>
      </c>
      <c r="F141" s="268" t="s">
        <v>85</v>
      </c>
      <c r="G141" s="337">
        <f>G142</f>
        <v>59.992000000000004</v>
      </c>
      <c r="H141" s="337">
        <f>H142</f>
        <v>59.991999999999997</v>
      </c>
      <c r="I141" s="337">
        <f t="shared" si="8"/>
        <v>99.999999999999986</v>
      </c>
    </row>
    <row r="142" spans="1:10" ht="34.5" customHeight="1" x14ac:dyDescent="0.25">
      <c r="A142" s="335" t="s">
        <v>86</v>
      </c>
      <c r="B142" s="482">
        <v>902</v>
      </c>
      <c r="C142" s="268" t="s">
        <v>81</v>
      </c>
      <c r="D142" s="268" t="s">
        <v>83</v>
      </c>
      <c r="E142" s="268" t="s">
        <v>325</v>
      </c>
      <c r="F142" s="268" t="s">
        <v>87</v>
      </c>
      <c r="G142" s="337">
        <f>86-26.008</f>
        <v>59.992000000000004</v>
      </c>
      <c r="H142" s="337">
        <v>59.991999999999997</v>
      </c>
      <c r="I142" s="337">
        <f t="shared" si="8"/>
        <v>99.999999999999986</v>
      </c>
    </row>
    <row r="143" spans="1:10" ht="17.45" hidden="1" customHeight="1" x14ac:dyDescent="0.25">
      <c r="A143" s="116" t="s">
        <v>873</v>
      </c>
      <c r="B143" s="432">
        <v>902</v>
      </c>
      <c r="C143" s="481" t="s">
        <v>81</v>
      </c>
      <c r="D143" s="481" t="s">
        <v>145</v>
      </c>
      <c r="E143" s="481"/>
      <c r="F143" s="268"/>
      <c r="G143" s="338">
        <f t="shared" ref="G143:H145" si="9">G144</f>
        <v>0</v>
      </c>
      <c r="H143" s="338">
        <f t="shared" si="9"/>
        <v>0</v>
      </c>
      <c r="I143" s="337" t="e">
        <f t="shared" si="8"/>
        <v>#DIV/0!</v>
      </c>
    </row>
    <row r="144" spans="1:10" ht="21.75" hidden="1" customHeight="1" x14ac:dyDescent="0.25">
      <c r="A144" s="116" t="s">
        <v>97</v>
      </c>
      <c r="B144" s="432">
        <v>902</v>
      </c>
      <c r="C144" s="481" t="s">
        <v>81</v>
      </c>
      <c r="D144" s="481" t="s">
        <v>145</v>
      </c>
      <c r="E144" s="481" t="s">
        <v>329</v>
      </c>
      <c r="F144" s="268"/>
      <c r="G144" s="338">
        <f t="shared" si="9"/>
        <v>0</v>
      </c>
      <c r="H144" s="338">
        <f t="shared" si="9"/>
        <v>0</v>
      </c>
      <c r="I144" s="337" t="e">
        <f t="shared" si="8"/>
        <v>#DIV/0!</v>
      </c>
    </row>
    <row r="145" spans="1:10" ht="34.5" hidden="1" customHeight="1" x14ac:dyDescent="0.25">
      <c r="A145" s="116" t="s">
        <v>330</v>
      </c>
      <c r="B145" s="432">
        <v>902</v>
      </c>
      <c r="C145" s="481" t="s">
        <v>81</v>
      </c>
      <c r="D145" s="481" t="s">
        <v>145</v>
      </c>
      <c r="E145" s="481" t="s">
        <v>328</v>
      </c>
      <c r="F145" s="268"/>
      <c r="G145" s="338">
        <f t="shared" si="9"/>
        <v>0</v>
      </c>
      <c r="H145" s="338">
        <f t="shared" si="9"/>
        <v>0</v>
      </c>
      <c r="I145" s="337" t="e">
        <f t="shared" si="8"/>
        <v>#DIV/0!</v>
      </c>
    </row>
    <row r="146" spans="1:10" ht="18" hidden="1" customHeight="1" x14ac:dyDescent="0.25">
      <c r="A146" s="26" t="s">
        <v>115</v>
      </c>
      <c r="B146" s="482">
        <v>902</v>
      </c>
      <c r="C146" s="268" t="s">
        <v>81</v>
      </c>
      <c r="D146" s="268" t="s">
        <v>145</v>
      </c>
      <c r="E146" s="268" t="s">
        <v>543</v>
      </c>
      <c r="F146" s="268"/>
      <c r="G146" s="337">
        <f>G147+G149</f>
        <v>0</v>
      </c>
      <c r="H146" s="337">
        <f>H147+H149</f>
        <v>0</v>
      </c>
      <c r="I146" s="337" t="e">
        <f t="shared" si="8"/>
        <v>#DIV/0!</v>
      </c>
    </row>
    <row r="147" spans="1:10" ht="69.75" hidden="1" customHeight="1" x14ac:dyDescent="0.25">
      <c r="A147" s="335" t="s">
        <v>84</v>
      </c>
      <c r="B147" s="482">
        <v>902</v>
      </c>
      <c r="C147" s="268" t="s">
        <v>81</v>
      </c>
      <c r="D147" s="268" t="s">
        <v>145</v>
      </c>
      <c r="E147" s="268" t="s">
        <v>543</v>
      </c>
      <c r="F147" s="268" t="s">
        <v>85</v>
      </c>
      <c r="G147" s="337">
        <f>G148</f>
        <v>0</v>
      </c>
      <c r="H147" s="337">
        <f>H148</f>
        <v>0</v>
      </c>
      <c r="I147" s="337" t="e">
        <f t="shared" si="8"/>
        <v>#DIV/0!</v>
      </c>
    </row>
    <row r="148" spans="1:10" ht="34.5" hidden="1" customHeight="1" x14ac:dyDescent="0.25">
      <c r="A148" s="335" t="s">
        <v>86</v>
      </c>
      <c r="B148" s="482">
        <v>902</v>
      </c>
      <c r="C148" s="268" t="s">
        <v>81</v>
      </c>
      <c r="D148" s="268" t="s">
        <v>145</v>
      </c>
      <c r="E148" s="268" t="s">
        <v>543</v>
      </c>
      <c r="F148" s="268" t="s">
        <v>87</v>
      </c>
      <c r="G148" s="337">
        <v>0</v>
      </c>
      <c r="H148" s="337">
        <v>0</v>
      </c>
      <c r="I148" s="337" t="e">
        <f t="shared" si="8"/>
        <v>#DIV/0!</v>
      </c>
    </row>
    <row r="149" spans="1:10" ht="34.5" hidden="1" customHeight="1" x14ac:dyDescent="0.25">
      <c r="A149" s="335" t="s">
        <v>114</v>
      </c>
      <c r="B149" s="482">
        <v>902</v>
      </c>
      <c r="C149" s="268" t="s">
        <v>81</v>
      </c>
      <c r="D149" s="268" t="s">
        <v>145</v>
      </c>
      <c r="E149" s="268" t="s">
        <v>543</v>
      </c>
      <c r="F149" s="268" t="s">
        <v>89</v>
      </c>
      <c r="G149" s="337">
        <f>G150</f>
        <v>0</v>
      </c>
      <c r="H149" s="337">
        <f>H150</f>
        <v>0</v>
      </c>
      <c r="I149" s="337" t="e">
        <f t="shared" si="8"/>
        <v>#DIV/0!</v>
      </c>
    </row>
    <row r="150" spans="1:10" ht="34.5" hidden="1" customHeight="1" x14ac:dyDescent="0.25">
      <c r="A150" s="335" t="s">
        <v>90</v>
      </c>
      <c r="B150" s="482">
        <v>902</v>
      </c>
      <c r="C150" s="268" t="s">
        <v>81</v>
      </c>
      <c r="D150" s="268" t="s">
        <v>145</v>
      </c>
      <c r="E150" s="268" t="s">
        <v>543</v>
      </c>
      <c r="F150" s="268" t="s">
        <v>91</v>
      </c>
      <c r="G150" s="337">
        <v>0</v>
      </c>
      <c r="H150" s="337">
        <v>0</v>
      </c>
      <c r="I150" s="337" t="e">
        <f t="shared" si="8"/>
        <v>#DIV/0!</v>
      </c>
    </row>
    <row r="151" spans="1:10" ht="15.75" x14ac:dyDescent="0.25">
      <c r="A151" s="116" t="s">
        <v>95</v>
      </c>
      <c r="B151" s="432">
        <v>902</v>
      </c>
      <c r="C151" s="481" t="s">
        <v>81</v>
      </c>
      <c r="D151" s="481" t="s">
        <v>96</v>
      </c>
      <c r="E151" s="481"/>
      <c r="F151" s="481"/>
      <c r="G151" s="338">
        <f>G165+G174+G152+G186+G160+G179</f>
        <v>96.44</v>
      </c>
      <c r="H151" s="338">
        <f>H165+H174+H152+H186+H160+H179</f>
        <v>96.44</v>
      </c>
      <c r="I151" s="338">
        <f t="shared" si="8"/>
        <v>100</v>
      </c>
      <c r="J151" s="281"/>
    </row>
    <row r="152" spans="1:10" ht="19.5" hidden="1" customHeight="1" x14ac:dyDescent="0.25">
      <c r="A152" s="116" t="s">
        <v>97</v>
      </c>
      <c r="B152" s="432">
        <v>902</v>
      </c>
      <c r="C152" s="481" t="s">
        <v>81</v>
      </c>
      <c r="D152" s="481" t="s">
        <v>96</v>
      </c>
      <c r="E152" s="481" t="s">
        <v>329</v>
      </c>
      <c r="F152" s="481"/>
      <c r="G152" s="338">
        <f>G153</f>
        <v>0</v>
      </c>
      <c r="H152" s="338">
        <f>H153</f>
        <v>0</v>
      </c>
      <c r="I152" s="338" t="e">
        <f t="shared" si="8"/>
        <v>#DIV/0!</v>
      </c>
    </row>
    <row r="153" spans="1:10" ht="30.6" hidden="1" customHeight="1" x14ac:dyDescent="0.25">
      <c r="A153" s="116" t="s">
        <v>330</v>
      </c>
      <c r="B153" s="432">
        <v>902</v>
      </c>
      <c r="C153" s="481" t="s">
        <v>81</v>
      </c>
      <c r="D153" s="481" t="s">
        <v>96</v>
      </c>
      <c r="E153" s="481" t="s">
        <v>328</v>
      </c>
      <c r="F153" s="481"/>
      <c r="G153" s="338">
        <f t="shared" ref="G153:H155" si="10">G154</f>
        <v>0</v>
      </c>
      <c r="H153" s="338">
        <f t="shared" si="10"/>
        <v>0</v>
      </c>
      <c r="I153" s="338" t="e">
        <f t="shared" si="8"/>
        <v>#DIV/0!</v>
      </c>
    </row>
    <row r="154" spans="1:10" ht="19.5" hidden="1" customHeight="1" x14ac:dyDescent="0.25">
      <c r="A154" s="335" t="s">
        <v>115</v>
      </c>
      <c r="B154" s="482">
        <v>902</v>
      </c>
      <c r="C154" s="268" t="s">
        <v>81</v>
      </c>
      <c r="D154" s="268" t="s">
        <v>96</v>
      </c>
      <c r="E154" s="268" t="s">
        <v>543</v>
      </c>
      <c r="F154" s="268"/>
      <c r="G154" s="337">
        <f>G155+G157</f>
        <v>0</v>
      </c>
      <c r="H154" s="337">
        <f>H155+H157</f>
        <v>0</v>
      </c>
      <c r="I154" s="338" t="e">
        <f t="shared" si="8"/>
        <v>#DIV/0!</v>
      </c>
    </row>
    <row r="155" spans="1:10" ht="31.15" hidden="1" customHeight="1" x14ac:dyDescent="0.25">
      <c r="A155" s="335" t="s">
        <v>114</v>
      </c>
      <c r="B155" s="482">
        <v>902</v>
      </c>
      <c r="C155" s="268" t="s">
        <v>81</v>
      </c>
      <c r="D155" s="268" t="s">
        <v>96</v>
      </c>
      <c r="E155" s="268" t="s">
        <v>543</v>
      </c>
      <c r="F155" s="268" t="s">
        <v>89</v>
      </c>
      <c r="G155" s="337">
        <f t="shared" si="10"/>
        <v>0</v>
      </c>
      <c r="H155" s="337">
        <f t="shared" si="10"/>
        <v>0</v>
      </c>
      <c r="I155" s="338" t="e">
        <f t="shared" si="8"/>
        <v>#DIV/0!</v>
      </c>
    </row>
    <row r="156" spans="1:10" ht="30.6" hidden="1" customHeight="1" x14ac:dyDescent="0.25">
      <c r="A156" s="335" t="s">
        <v>90</v>
      </c>
      <c r="B156" s="482">
        <v>902</v>
      </c>
      <c r="C156" s="268" t="s">
        <v>81</v>
      </c>
      <c r="D156" s="268" t="s">
        <v>96</v>
      </c>
      <c r="E156" s="268" t="s">
        <v>543</v>
      </c>
      <c r="F156" s="268" t="s">
        <v>91</v>
      </c>
      <c r="G156" s="337"/>
      <c r="H156" s="337"/>
      <c r="I156" s="338" t="e">
        <f t="shared" si="8"/>
        <v>#DIV/0!</v>
      </c>
    </row>
    <row r="157" spans="1:10" ht="15.75" hidden="1" x14ac:dyDescent="0.25">
      <c r="A157" s="19" t="s">
        <v>92</v>
      </c>
      <c r="B157" s="482">
        <v>902</v>
      </c>
      <c r="C157" s="268" t="s">
        <v>81</v>
      </c>
      <c r="D157" s="268" t="s">
        <v>96</v>
      </c>
      <c r="E157" s="268" t="s">
        <v>543</v>
      </c>
      <c r="F157" s="268" t="s">
        <v>98</v>
      </c>
      <c r="G157" s="337">
        <f>G158+G159</f>
        <v>0</v>
      </c>
      <c r="H157" s="337">
        <f>H158+H159</f>
        <v>0</v>
      </c>
      <c r="I157" s="338" t="e">
        <f t="shared" si="8"/>
        <v>#DIV/0!</v>
      </c>
    </row>
    <row r="158" spans="1:10" ht="15.75" hidden="1" x14ac:dyDescent="0.25">
      <c r="A158" s="335" t="s">
        <v>820</v>
      </c>
      <c r="B158" s="482">
        <v>902</v>
      </c>
      <c r="C158" s="268" t="s">
        <v>81</v>
      </c>
      <c r="D158" s="268" t="s">
        <v>96</v>
      </c>
      <c r="E158" s="268" t="s">
        <v>543</v>
      </c>
      <c r="F158" s="268" t="s">
        <v>100</v>
      </c>
      <c r="G158" s="337"/>
      <c r="H158" s="337"/>
      <c r="I158" s="338" t="e">
        <f t="shared" si="8"/>
        <v>#DIV/0!</v>
      </c>
    </row>
    <row r="159" spans="1:10" ht="15.75" hidden="1" x14ac:dyDescent="0.25">
      <c r="A159" s="335" t="s">
        <v>223</v>
      </c>
      <c r="B159" s="482">
        <v>902</v>
      </c>
      <c r="C159" s="268" t="s">
        <v>81</v>
      </c>
      <c r="D159" s="268" t="s">
        <v>96</v>
      </c>
      <c r="E159" s="268" t="s">
        <v>543</v>
      </c>
      <c r="F159" s="268" t="s">
        <v>94</v>
      </c>
      <c r="G159" s="337">
        <f>6-6</f>
        <v>0</v>
      </c>
      <c r="H159" s="337">
        <f>6-6</f>
        <v>0</v>
      </c>
      <c r="I159" s="338" t="e">
        <f t="shared" si="8"/>
        <v>#DIV/0!</v>
      </c>
    </row>
    <row r="160" spans="1:10" ht="45" hidden="1" customHeight="1" x14ac:dyDescent="0.25">
      <c r="A160" s="116" t="s">
        <v>894</v>
      </c>
      <c r="B160" s="432">
        <v>902</v>
      </c>
      <c r="C160" s="481" t="s">
        <v>81</v>
      </c>
      <c r="D160" s="481" t="s">
        <v>96</v>
      </c>
      <c r="E160" s="481" t="s">
        <v>162</v>
      </c>
      <c r="F160" s="481"/>
      <c r="G160" s="338">
        <f t="shared" ref="G160:H163" si="11">G161</f>
        <v>0</v>
      </c>
      <c r="H160" s="338">
        <f t="shared" si="11"/>
        <v>0</v>
      </c>
      <c r="I160" s="338" t="e">
        <f t="shared" si="8"/>
        <v>#DIV/0!</v>
      </c>
    </row>
    <row r="161" spans="1:10" ht="45" hidden="1" customHeight="1" x14ac:dyDescent="0.25">
      <c r="A161" s="22" t="s">
        <v>452</v>
      </c>
      <c r="B161" s="432">
        <v>902</v>
      </c>
      <c r="C161" s="481" t="s">
        <v>81</v>
      </c>
      <c r="D161" s="481" t="s">
        <v>96</v>
      </c>
      <c r="E161" s="481" t="s">
        <v>372</v>
      </c>
      <c r="F161" s="481"/>
      <c r="G161" s="338">
        <f t="shared" si="11"/>
        <v>0</v>
      </c>
      <c r="H161" s="338">
        <f t="shared" si="11"/>
        <v>0</v>
      </c>
      <c r="I161" s="338" t="e">
        <f t="shared" si="8"/>
        <v>#DIV/0!</v>
      </c>
    </row>
    <row r="162" spans="1:10" ht="51" hidden="1" customHeight="1" x14ac:dyDescent="0.25">
      <c r="A162" s="335" t="s">
        <v>493</v>
      </c>
      <c r="B162" s="482">
        <v>902</v>
      </c>
      <c r="C162" s="268" t="s">
        <v>81</v>
      </c>
      <c r="D162" s="268" t="s">
        <v>96</v>
      </c>
      <c r="E162" s="268" t="s">
        <v>453</v>
      </c>
      <c r="F162" s="268"/>
      <c r="G162" s="337">
        <f t="shared" si="11"/>
        <v>0</v>
      </c>
      <c r="H162" s="337">
        <f t="shared" si="11"/>
        <v>0</v>
      </c>
      <c r="I162" s="338" t="e">
        <f t="shared" si="8"/>
        <v>#DIV/0!</v>
      </c>
    </row>
    <row r="163" spans="1:10" ht="32.450000000000003" hidden="1" customHeight="1" x14ac:dyDescent="0.25">
      <c r="A163" s="335" t="s">
        <v>114</v>
      </c>
      <c r="B163" s="482">
        <v>902</v>
      </c>
      <c r="C163" s="268" t="s">
        <v>81</v>
      </c>
      <c r="D163" s="268" t="s">
        <v>96</v>
      </c>
      <c r="E163" s="268" t="s">
        <v>453</v>
      </c>
      <c r="F163" s="268" t="s">
        <v>89</v>
      </c>
      <c r="G163" s="337">
        <f t="shared" si="11"/>
        <v>0</v>
      </c>
      <c r="H163" s="337">
        <f t="shared" si="11"/>
        <v>0</v>
      </c>
      <c r="I163" s="338" t="e">
        <f t="shared" si="8"/>
        <v>#DIV/0!</v>
      </c>
    </row>
    <row r="164" spans="1:10" ht="33.6" hidden="1" customHeight="1" x14ac:dyDescent="0.25">
      <c r="A164" s="335" t="s">
        <v>90</v>
      </c>
      <c r="B164" s="482">
        <v>902</v>
      </c>
      <c r="C164" s="268" t="s">
        <v>81</v>
      </c>
      <c r="D164" s="268" t="s">
        <v>96</v>
      </c>
      <c r="E164" s="268" t="s">
        <v>453</v>
      </c>
      <c r="F164" s="268" t="s">
        <v>91</v>
      </c>
      <c r="G164" s="337">
        <v>0</v>
      </c>
      <c r="H164" s="337"/>
      <c r="I164" s="338" t="e">
        <f t="shared" si="8"/>
        <v>#DIV/0!</v>
      </c>
    </row>
    <row r="165" spans="1:10" ht="47.25" x14ac:dyDescent="0.25">
      <c r="A165" s="130" t="s">
        <v>853</v>
      </c>
      <c r="B165" s="432">
        <v>902</v>
      </c>
      <c r="C165" s="481" t="s">
        <v>81</v>
      </c>
      <c r="D165" s="481" t="s">
        <v>96</v>
      </c>
      <c r="E165" s="481" t="s">
        <v>259</v>
      </c>
      <c r="F165" s="486"/>
      <c r="G165" s="338">
        <f>G166+G170</f>
        <v>15</v>
      </c>
      <c r="H165" s="338">
        <f>H166+H170</f>
        <v>15</v>
      </c>
      <c r="I165" s="338">
        <f t="shared" si="8"/>
        <v>100</v>
      </c>
    </row>
    <row r="166" spans="1:10" ht="47.25" hidden="1" customHeight="1" x14ac:dyDescent="0.25">
      <c r="A166" s="30" t="s">
        <v>309</v>
      </c>
      <c r="B166" s="432">
        <v>902</v>
      </c>
      <c r="C166" s="481" t="s">
        <v>81</v>
      </c>
      <c r="D166" s="481" t="s">
        <v>96</v>
      </c>
      <c r="E166" s="481" t="s">
        <v>315</v>
      </c>
      <c r="F166" s="486"/>
      <c r="G166" s="338">
        <f t="shared" ref="G166:H168" si="12">G167</f>
        <v>0</v>
      </c>
      <c r="H166" s="338">
        <f t="shared" si="12"/>
        <v>0</v>
      </c>
      <c r="I166" s="338" t="e">
        <f t="shared" si="8"/>
        <v>#DIV/0!</v>
      </c>
    </row>
    <row r="167" spans="1:10" ht="36.75" hidden="1" customHeight="1" x14ac:dyDescent="0.25">
      <c r="A167" s="26" t="s">
        <v>271</v>
      </c>
      <c r="B167" s="482">
        <v>902</v>
      </c>
      <c r="C167" s="268" t="s">
        <v>81</v>
      </c>
      <c r="D167" s="268" t="s">
        <v>96</v>
      </c>
      <c r="E167" s="268" t="s">
        <v>310</v>
      </c>
      <c r="F167" s="487"/>
      <c r="G167" s="337">
        <f t="shared" si="12"/>
        <v>0</v>
      </c>
      <c r="H167" s="337">
        <f t="shared" si="12"/>
        <v>0</v>
      </c>
      <c r="I167" s="338" t="e">
        <f t="shared" si="8"/>
        <v>#DIV/0!</v>
      </c>
    </row>
    <row r="168" spans="1:10" ht="31.5" hidden="1" x14ac:dyDescent="0.25">
      <c r="A168" s="335" t="s">
        <v>88</v>
      </c>
      <c r="B168" s="482">
        <v>902</v>
      </c>
      <c r="C168" s="268" t="s">
        <v>81</v>
      </c>
      <c r="D168" s="268" t="s">
        <v>96</v>
      </c>
      <c r="E168" s="268" t="s">
        <v>310</v>
      </c>
      <c r="F168" s="487" t="s">
        <v>89</v>
      </c>
      <c r="G168" s="337">
        <f t="shared" si="12"/>
        <v>0</v>
      </c>
      <c r="H168" s="337">
        <f t="shared" si="12"/>
        <v>0</v>
      </c>
      <c r="I168" s="338" t="e">
        <f t="shared" si="8"/>
        <v>#DIV/0!</v>
      </c>
    </row>
    <row r="169" spans="1:10" ht="31.5" hidden="1" x14ac:dyDescent="0.25">
      <c r="A169" s="335" t="s">
        <v>90</v>
      </c>
      <c r="B169" s="482">
        <v>902</v>
      </c>
      <c r="C169" s="268" t="s">
        <v>81</v>
      </c>
      <c r="D169" s="268" t="s">
        <v>96</v>
      </c>
      <c r="E169" s="268" t="s">
        <v>310</v>
      </c>
      <c r="F169" s="487" t="s">
        <v>91</v>
      </c>
      <c r="G169" s="337">
        <f>26-26</f>
        <v>0</v>
      </c>
      <c r="H169" s="337">
        <f>26-26</f>
        <v>0</v>
      </c>
      <c r="I169" s="338" t="e">
        <f t="shared" si="8"/>
        <v>#DIV/0!</v>
      </c>
      <c r="J169" s="341"/>
    </row>
    <row r="170" spans="1:10" ht="34.5" customHeight="1" x14ac:dyDescent="0.25">
      <c r="A170" s="180" t="s">
        <v>450</v>
      </c>
      <c r="B170" s="432">
        <v>902</v>
      </c>
      <c r="C170" s="481" t="s">
        <v>81</v>
      </c>
      <c r="D170" s="481" t="s">
        <v>96</v>
      </c>
      <c r="E170" s="481" t="s">
        <v>316</v>
      </c>
      <c r="F170" s="486"/>
      <c r="G170" s="338">
        <f t="shared" ref="G170:H172" si="13">G171</f>
        <v>15</v>
      </c>
      <c r="H170" s="338">
        <f t="shared" si="13"/>
        <v>15</v>
      </c>
      <c r="I170" s="338">
        <f t="shared" si="8"/>
        <v>100</v>
      </c>
    </row>
    <row r="171" spans="1:10" ht="39.200000000000003" customHeight="1" x14ac:dyDescent="0.25">
      <c r="A171" s="26" t="s">
        <v>272</v>
      </c>
      <c r="B171" s="482">
        <v>902</v>
      </c>
      <c r="C171" s="268" t="s">
        <v>81</v>
      </c>
      <c r="D171" s="268" t="s">
        <v>96</v>
      </c>
      <c r="E171" s="268" t="s">
        <v>311</v>
      </c>
      <c r="F171" s="487"/>
      <c r="G171" s="337">
        <f t="shared" si="13"/>
        <v>15</v>
      </c>
      <c r="H171" s="337">
        <f t="shared" si="13"/>
        <v>15</v>
      </c>
      <c r="I171" s="337">
        <f t="shared" si="8"/>
        <v>100</v>
      </c>
    </row>
    <row r="172" spans="1:10" ht="31.7" customHeight="1" x14ac:dyDescent="0.25">
      <c r="A172" s="335" t="s">
        <v>88</v>
      </c>
      <c r="B172" s="482">
        <v>902</v>
      </c>
      <c r="C172" s="268" t="s">
        <v>81</v>
      </c>
      <c r="D172" s="268" t="s">
        <v>96</v>
      </c>
      <c r="E172" s="268" t="s">
        <v>311</v>
      </c>
      <c r="F172" s="487" t="s">
        <v>89</v>
      </c>
      <c r="G172" s="337">
        <f t="shared" si="13"/>
        <v>15</v>
      </c>
      <c r="H172" s="337">
        <f t="shared" si="13"/>
        <v>15</v>
      </c>
      <c r="I172" s="337">
        <f t="shared" si="8"/>
        <v>100</v>
      </c>
    </row>
    <row r="173" spans="1:10" ht="32.25" customHeight="1" x14ac:dyDescent="0.25">
      <c r="A173" s="335" t="s">
        <v>90</v>
      </c>
      <c r="B173" s="482">
        <v>902</v>
      </c>
      <c r="C173" s="268" t="s">
        <v>81</v>
      </c>
      <c r="D173" s="268" t="s">
        <v>96</v>
      </c>
      <c r="E173" s="268" t="s">
        <v>311</v>
      </c>
      <c r="F173" s="487" t="s">
        <v>91</v>
      </c>
      <c r="G173" s="337">
        <v>15</v>
      </c>
      <c r="H173" s="337">
        <v>15</v>
      </c>
      <c r="I173" s="337">
        <f t="shared" si="8"/>
        <v>100</v>
      </c>
    </row>
    <row r="174" spans="1:10" ht="68.25" customHeight="1" x14ac:dyDescent="0.25">
      <c r="A174" s="130" t="s">
        <v>899</v>
      </c>
      <c r="B174" s="432">
        <v>902</v>
      </c>
      <c r="C174" s="488" t="s">
        <v>81</v>
      </c>
      <c r="D174" s="488" t="s">
        <v>96</v>
      </c>
      <c r="E174" s="398" t="s">
        <v>291</v>
      </c>
      <c r="F174" s="488"/>
      <c r="G174" s="338">
        <f>G176</f>
        <v>5</v>
      </c>
      <c r="H174" s="338">
        <f>H176</f>
        <v>5</v>
      </c>
      <c r="I174" s="338">
        <f t="shared" si="8"/>
        <v>100</v>
      </c>
    </row>
    <row r="175" spans="1:10" ht="35.450000000000003" customHeight="1" x14ac:dyDescent="0.25">
      <c r="A175" s="81" t="s">
        <v>317</v>
      </c>
      <c r="B175" s="432">
        <v>902</v>
      </c>
      <c r="C175" s="488" t="s">
        <v>81</v>
      </c>
      <c r="D175" s="488" t="s">
        <v>96</v>
      </c>
      <c r="E175" s="398" t="s">
        <v>491</v>
      </c>
      <c r="F175" s="488"/>
      <c r="G175" s="338">
        <f t="shared" ref="G175:H177" si="14">G176</f>
        <v>5</v>
      </c>
      <c r="H175" s="338">
        <f t="shared" si="14"/>
        <v>5</v>
      </c>
      <c r="I175" s="338">
        <f t="shared" si="8"/>
        <v>100</v>
      </c>
    </row>
    <row r="176" spans="1:10" ht="31.7" customHeight="1" x14ac:dyDescent="0.25">
      <c r="A176" s="66" t="s">
        <v>108</v>
      </c>
      <c r="B176" s="482">
        <v>902</v>
      </c>
      <c r="C176" s="489" t="s">
        <v>81</v>
      </c>
      <c r="D176" s="489" t="s">
        <v>96</v>
      </c>
      <c r="E176" s="399" t="s">
        <v>318</v>
      </c>
      <c r="F176" s="489"/>
      <c r="G176" s="337">
        <f t="shared" si="14"/>
        <v>5</v>
      </c>
      <c r="H176" s="337">
        <f t="shared" si="14"/>
        <v>5</v>
      </c>
      <c r="I176" s="337">
        <f t="shared" si="8"/>
        <v>100</v>
      </c>
    </row>
    <row r="177" spans="1:9" ht="35.450000000000003" customHeight="1" x14ac:dyDescent="0.25">
      <c r="A177" s="335" t="s">
        <v>88</v>
      </c>
      <c r="B177" s="482">
        <v>902</v>
      </c>
      <c r="C177" s="489" t="s">
        <v>81</v>
      </c>
      <c r="D177" s="489" t="s">
        <v>96</v>
      </c>
      <c r="E177" s="399" t="s">
        <v>318</v>
      </c>
      <c r="F177" s="489" t="s">
        <v>89</v>
      </c>
      <c r="G177" s="337">
        <f t="shared" si="14"/>
        <v>5</v>
      </c>
      <c r="H177" s="337">
        <f t="shared" si="14"/>
        <v>5</v>
      </c>
      <c r="I177" s="337">
        <f t="shared" si="8"/>
        <v>100</v>
      </c>
    </row>
    <row r="178" spans="1:9" ht="33" customHeight="1" x14ac:dyDescent="0.25">
      <c r="A178" s="335" t="s">
        <v>90</v>
      </c>
      <c r="B178" s="482">
        <v>902</v>
      </c>
      <c r="C178" s="489" t="s">
        <v>81</v>
      </c>
      <c r="D178" s="489" t="s">
        <v>96</v>
      </c>
      <c r="E178" s="399" t="s">
        <v>318</v>
      </c>
      <c r="F178" s="489" t="s">
        <v>91</v>
      </c>
      <c r="G178" s="337">
        <v>5</v>
      </c>
      <c r="H178" s="337">
        <v>5</v>
      </c>
      <c r="I178" s="337">
        <f t="shared" si="8"/>
        <v>100</v>
      </c>
    </row>
    <row r="179" spans="1:9" ht="63" x14ac:dyDescent="0.25">
      <c r="A179" s="130" t="s">
        <v>900</v>
      </c>
      <c r="B179" s="432">
        <v>902</v>
      </c>
      <c r="C179" s="488" t="s">
        <v>81</v>
      </c>
      <c r="D179" s="488" t="s">
        <v>96</v>
      </c>
      <c r="E179" s="398" t="s">
        <v>788</v>
      </c>
      <c r="F179" s="488"/>
      <c r="G179" s="338">
        <f>G180</f>
        <v>29.84</v>
      </c>
      <c r="H179" s="338">
        <f>H180</f>
        <v>29.84</v>
      </c>
      <c r="I179" s="338">
        <f t="shared" si="8"/>
        <v>100</v>
      </c>
    </row>
    <row r="180" spans="1:9" ht="54" customHeight="1" x14ac:dyDescent="0.25">
      <c r="A180" s="130" t="s">
        <v>792</v>
      </c>
      <c r="B180" s="432">
        <v>902</v>
      </c>
      <c r="C180" s="488" t="s">
        <v>81</v>
      </c>
      <c r="D180" s="488" t="s">
        <v>96</v>
      </c>
      <c r="E180" s="398" t="s">
        <v>789</v>
      </c>
      <c r="F180" s="488"/>
      <c r="G180" s="338">
        <f>G181</f>
        <v>29.84</v>
      </c>
      <c r="H180" s="338">
        <f>H181</f>
        <v>29.84</v>
      </c>
      <c r="I180" s="338">
        <f t="shared" si="8"/>
        <v>100</v>
      </c>
    </row>
    <row r="181" spans="1:9" ht="15.75" x14ac:dyDescent="0.25">
      <c r="A181" s="335" t="s">
        <v>793</v>
      </c>
      <c r="B181" s="482">
        <v>902</v>
      </c>
      <c r="C181" s="489" t="s">
        <v>81</v>
      </c>
      <c r="D181" s="489" t="s">
        <v>96</v>
      </c>
      <c r="E181" s="399" t="s">
        <v>790</v>
      </c>
      <c r="F181" s="489"/>
      <c r="G181" s="337">
        <f>G184+G182</f>
        <v>29.84</v>
      </c>
      <c r="H181" s="337">
        <f>H184+H182</f>
        <v>29.84</v>
      </c>
      <c r="I181" s="337">
        <f t="shared" si="8"/>
        <v>100</v>
      </c>
    </row>
    <row r="182" spans="1:9" ht="33.75" customHeight="1" x14ac:dyDescent="0.25">
      <c r="A182" s="335" t="s">
        <v>88</v>
      </c>
      <c r="B182" s="482">
        <v>902</v>
      </c>
      <c r="C182" s="489" t="s">
        <v>81</v>
      </c>
      <c r="D182" s="489" t="s">
        <v>96</v>
      </c>
      <c r="E182" s="399" t="s">
        <v>790</v>
      </c>
      <c r="F182" s="489" t="s">
        <v>89</v>
      </c>
      <c r="G182" s="337">
        <f>G183</f>
        <v>11.84</v>
      </c>
      <c r="H182" s="337">
        <f>H183</f>
        <v>11.84</v>
      </c>
      <c r="I182" s="337">
        <f t="shared" si="8"/>
        <v>100</v>
      </c>
    </row>
    <row r="183" spans="1:9" ht="32.25" customHeight="1" x14ac:dyDescent="0.25">
      <c r="A183" s="335" t="s">
        <v>90</v>
      </c>
      <c r="B183" s="482">
        <v>902</v>
      </c>
      <c r="C183" s="489" t="s">
        <v>81</v>
      </c>
      <c r="D183" s="489" t="s">
        <v>96</v>
      </c>
      <c r="E183" s="399" t="s">
        <v>790</v>
      </c>
      <c r="F183" s="489" t="s">
        <v>91</v>
      </c>
      <c r="G183" s="337">
        <f>1.8+10.04</f>
        <v>11.84</v>
      </c>
      <c r="H183" s="337">
        <v>11.84</v>
      </c>
      <c r="I183" s="337">
        <f t="shared" si="8"/>
        <v>100</v>
      </c>
    </row>
    <row r="184" spans="1:9" ht="19.5" customHeight="1" x14ac:dyDescent="0.25">
      <c r="A184" s="176" t="s">
        <v>137</v>
      </c>
      <c r="B184" s="482">
        <v>902</v>
      </c>
      <c r="C184" s="489" t="s">
        <v>81</v>
      </c>
      <c r="D184" s="489" t="s">
        <v>96</v>
      </c>
      <c r="E184" s="399" t="s">
        <v>790</v>
      </c>
      <c r="F184" s="489" t="s">
        <v>138</v>
      </c>
      <c r="G184" s="337">
        <f>G185</f>
        <v>18</v>
      </c>
      <c r="H184" s="337">
        <f>H185</f>
        <v>18</v>
      </c>
      <c r="I184" s="337">
        <f t="shared" si="8"/>
        <v>100</v>
      </c>
    </row>
    <row r="185" spans="1:9" ht="23.25" customHeight="1" x14ac:dyDescent="0.25">
      <c r="A185" s="335" t="s">
        <v>794</v>
      </c>
      <c r="B185" s="482">
        <v>902</v>
      </c>
      <c r="C185" s="489" t="s">
        <v>81</v>
      </c>
      <c r="D185" s="489" t="s">
        <v>96</v>
      </c>
      <c r="E185" s="399" t="s">
        <v>790</v>
      </c>
      <c r="F185" s="489" t="s">
        <v>791</v>
      </c>
      <c r="G185" s="337">
        <f>30-12</f>
        <v>18</v>
      </c>
      <c r="H185" s="337">
        <v>18</v>
      </c>
      <c r="I185" s="337">
        <f t="shared" si="8"/>
        <v>100</v>
      </c>
    </row>
    <row r="186" spans="1:9" ht="63" x14ac:dyDescent="0.25">
      <c r="A186" s="130" t="s">
        <v>901</v>
      </c>
      <c r="B186" s="432">
        <v>902</v>
      </c>
      <c r="C186" s="488" t="s">
        <v>81</v>
      </c>
      <c r="D186" s="488" t="s">
        <v>96</v>
      </c>
      <c r="E186" s="398" t="s">
        <v>292</v>
      </c>
      <c r="F186" s="488"/>
      <c r="G186" s="338">
        <f>G188</f>
        <v>46.6</v>
      </c>
      <c r="H186" s="338">
        <f>H188</f>
        <v>46.6</v>
      </c>
      <c r="I186" s="338">
        <f t="shared" si="8"/>
        <v>100</v>
      </c>
    </row>
    <row r="187" spans="1:9" ht="31.5" x14ac:dyDescent="0.25">
      <c r="A187" s="30" t="s">
        <v>319</v>
      </c>
      <c r="B187" s="432">
        <v>902</v>
      </c>
      <c r="C187" s="488" t="s">
        <v>81</v>
      </c>
      <c r="D187" s="488" t="s">
        <v>96</v>
      </c>
      <c r="E187" s="398" t="s">
        <v>327</v>
      </c>
      <c r="F187" s="488"/>
      <c r="G187" s="338">
        <f t="shared" ref="G187:H189" si="15">G188</f>
        <v>46.6</v>
      </c>
      <c r="H187" s="338">
        <f t="shared" si="15"/>
        <v>46.6</v>
      </c>
      <c r="I187" s="338">
        <f t="shared" si="8"/>
        <v>100</v>
      </c>
    </row>
    <row r="188" spans="1:9" ht="15.75" x14ac:dyDescent="0.25">
      <c r="A188" s="26" t="s">
        <v>296</v>
      </c>
      <c r="B188" s="482">
        <v>902</v>
      </c>
      <c r="C188" s="489" t="s">
        <v>81</v>
      </c>
      <c r="D188" s="489" t="s">
        <v>96</v>
      </c>
      <c r="E188" s="399" t="s">
        <v>320</v>
      </c>
      <c r="F188" s="489"/>
      <c r="G188" s="337">
        <f t="shared" si="15"/>
        <v>46.6</v>
      </c>
      <c r="H188" s="337">
        <f t="shared" si="15"/>
        <v>46.6</v>
      </c>
      <c r="I188" s="337">
        <f t="shared" si="8"/>
        <v>100</v>
      </c>
    </row>
    <row r="189" spans="1:9" ht="31.5" x14ac:dyDescent="0.25">
      <c r="A189" s="335" t="s">
        <v>88</v>
      </c>
      <c r="B189" s="482">
        <v>902</v>
      </c>
      <c r="C189" s="489" t="s">
        <v>81</v>
      </c>
      <c r="D189" s="489" t="s">
        <v>96</v>
      </c>
      <c r="E189" s="399" t="s">
        <v>320</v>
      </c>
      <c r="F189" s="489" t="s">
        <v>89</v>
      </c>
      <c r="G189" s="337">
        <f t="shared" si="15"/>
        <v>46.6</v>
      </c>
      <c r="H189" s="337">
        <f t="shared" si="15"/>
        <v>46.6</v>
      </c>
      <c r="I189" s="337">
        <f t="shared" si="8"/>
        <v>100</v>
      </c>
    </row>
    <row r="190" spans="1:9" ht="31.5" x14ac:dyDescent="0.25">
      <c r="A190" s="335" t="s">
        <v>90</v>
      </c>
      <c r="B190" s="482">
        <v>902</v>
      </c>
      <c r="C190" s="489" t="s">
        <v>81</v>
      </c>
      <c r="D190" s="489" t="s">
        <v>96</v>
      </c>
      <c r="E190" s="399" t="s">
        <v>320</v>
      </c>
      <c r="F190" s="489" t="s">
        <v>91</v>
      </c>
      <c r="G190" s="337">
        <f>95-48.4</f>
        <v>46.6</v>
      </c>
      <c r="H190" s="337">
        <v>46.6</v>
      </c>
      <c r="I190" s="337">
        <f t="shared" si="8"/>
        <v>100</v>
      </c>
    </row>
    <row r="191" spans="1:9" ht="15.75" hidden="1" customHeight="1" x14ac:dyDescent="0.25">
      <c r="A191" s="116" t="s">
        <v>118</v>
      </c>
      <c r="B191" s="432">
        <v>902</v>
      </c>
      <c r="C191" s="481" t="s">
        <v>119</v>
      </c>
      <c r="D191" s="481"/>
      <c r="E191" s="481"/>
      <c r="F191" s="481"/>
      <c r="G191" s="338">
        <f t="shared" ref="G191:H196" si="16">G192</f>
        <v>0</v>
      </c>
      <c r="H191" s="338">
        <f t="shared" si="16"/>
        <v>0</v>
      </c>
      <c r="I191" s="337" t="e">
        <f t="shared" si="8"/>
        <v>#DIV/0!</v>
      </c>
    </row>
    <row r="192" spans="1:9" ht="20.25" hidden="1" customHeight="1" x14ac:dyDescent="0.25">
      <c r="A192" s="116" t="s">
        <v>121</v>
      </c>
      <c r="B192" s="432">
        <v>902</v>
      </c>
      <c r="C192" s="481" t="s">
        <v>119</v>
      </c>
      <c r="D192" s="481" t="s">
        <v>122</v>
      </c>
      <c r="E192" s="481"/>
      <c r="F192" s="481"/>
      <c r="G192" s="338">
        <f t="shared" si="16"/>
        <v>0</v>
      </c>
      <c r="H192" s="338">
        <f t="shared" si="16"/>
        <v>0</v>
      </c>
      <c r="I192" s="337" t="e">
        <f t="shared" si="8"/>
        <v>#DIV/0!</v>
      </c>
    </row>
    <row r="193" spans="1:10" ht="15.75" hidden="1" customHeight="1" x14ac:dyDescent="0.25">
      <c r="A193" s="116" t="s">
        <v>97</v>
      </c>
      <c r="B193" s="432">
        <v>902</v>
      </c>
      <c r="C193" s="481" t="s">
        <v>119</v>
      </c>
      <c r="D193" s="481" t="s">
        <v>122</v>
      </c>
      <c r="E193" s="481" t="s">
        <v>329</v>
      </c>
      <c r="F193" s="481"/>
      <c r="G193" s="338">
        <f t="shared" si="16"/>
        <v>0</v>
      </c>
      <c r="H193" s="338">
        <f t="shared" si="16"/>
        <v>0</v>
      </c>
      <c r="I193" s="337" t="e">
        <f t="shared" si="8"/>
        <v>#DIV/0!</v>
      </c>
    </row>
    <row r="194" spans="1:10" ht="33.75" hidden="1" customHeight="1" x14ac:dyDescent="0.25">
      <c r="A194" s="116" t="s">
        <v>330</v>
      </c>
      <c r="B194" s="432">
        <v>902</v>
      </c>
      <c r="C194" s="481" t="s">
        <v>119</v>
      </c>
      <c r="D194" s="481" t="s">
        <v>122</v>
      </c>
      <c r="E194" s="481" t="s">
        <v>328</v>
      </c>
      <c r="F194" s="481"/>
      <c r="G194" s="338">
        <f t="shared" si="16"/>
        <v>0</v>
      </c>
      <c r="H194" s="338">
        <f t="shared" si="16"/>
        <v>0</v>
      </c>
      <c r="I194" s="337" t="e">
        <f t="shared" si="8"/>
        <v>#DIV/0!</v>
      </c>
    </row>
    <row r="195" spans="1:10" ht="15.75" hidden="1" customHeight="1" x14ac:dyDescent="0.25">
      <c r="A195" s="335" t="s">
        <v>123</v>
      </c>
      <c r="B195" s="482">
        <v>902</v>
      </c>
      <c r="C195" s="268" t="s">
        <v>119</v>
      </c>
      <c r="D195" s="268" t="s">
        <v>122</v>
      </c>
      <c r="E195" s="268" t="s">
        <v>331</v>
      </c>
      <c r="F195" s="268"/>
      <c r="G195" s="337">
        <f t="shared" si="16"/>
        <v>0</v>
      </c>
      <c r="H195" s="337">
        <f t="shared" si="16"/>
        <v>0</v>
      </c>
      <c r="I195" s="337" t="e">
        <f t="shared" si="8"/>
        <v>#DIV/0!</v>
      </c>
    </row>
    <row r="196" spans="1:10" ht="33.75" hidden="1" customHeight="1" x14ac:dyDescent="0.25">
      <c r="A196" s="335" t="s">
        <v>114</v>
      </c>
      <c r="B196" s="482">
        <v>902</v>
      </c>
      <c r="C196" s="268" t="s">
        <v>119</v>
      </c>
      <c r="D196" s="268" t="s">
        <v>122</v>
      </c>
      <c r="E196" s="268" t="s">
        <v>331</v>
      </c>
      <c r="F196" s="268" t="s">
        <v>89</v>
      </c>
      <c r="G196" s="337">
        <f t="shared" si="16"/>
        <v>0</v>
      </c>
      <c r="H196" s="337">
        <f t="shared" si="16"/>
        <v>0</v>
      </c>
      <c r="I196" s="337" t="e">
        <f t="shared" si="8"/>
        <v>#DIV/0!</v>
      </c>
    </row>
    <row r="197" spans="1:10" ht="40.700000000000003" hidden="1" customHeight="1" x14ac:dyDescent="0.25">
      <c r="A197" s="335" t="s">
        <v>90</v>
      </c>
      <c r="B197" s="482">
        <v>902</v>
      </c>
      <c r="C197" s="268" t="s">
        <v>119</v>
      </c>
      <c r="D197" s="268" t="s">
        <v>122</v>
      </c>
      <c r="E197" s="268" t="s">
        <v>331</v>
      </c>
      <c r="F197" s="268" t="s">
        <v>91</v>
      </c>
      <c r="G197" s="271">
        <v>0</v>
      </c>
      <c r="H197" s="271">
        <v>0</v>
      </c>
      <c r="I197" s="337" t="e">
        <f t="shared" si="8"/>
        <v>#DIV/0!</v>
      </c>
    </row>
    <row r="198" spans="1:10" ht="31.5" x14ac:dyDescent="0.25">
      <c r="A198" s="116" t="s">
        <v>124</v>
      </c>
      <c r="B198" s="432">
        <v>902</v>
      </c>
      <c r="C198" s="481" t="s">
        <v>120</v>
      </c>
      <c r="D198" s="481"/>
      <c r="E198" s="481"/>
      <c r="F198" s="481"/>
      <c r="G198" s="338">
        <f>G199</f>
        <v>10837.23963</v>
      </c>
      <c r="H198" s="338">
        <f>H199</f>
        <v>9990.7717600000014</v>
      </c>
      <c r="I198" s="338">
        <f t="shared" si="8"/>
        <v>92.189266834547254</v>
      </c>
      <c r="J198" s="281"/>
    </row>
    <row r="199" spans="1:10" ht="47.25" customHeight="1" x14ac:dyDescent="0.25">
      <c r="A199" s="116" t="s">
        <v>640</v>
      </c>
      <c r="B199" s="432">
        <v>902</v>
      </c>
      <c r="C199" s="481" t="s">
        <v>120</v>
      </c>
      <c r="D199" s="481" t="s">
        <v>134</v>
      </c>
      <c r="E199" s="268"/>
      <c r="F199" s="268"/>
      <c r="G199" s="338">
        <f>G200+G225+G230</f>
        <v>10837.23963</v>
      </c>
      <c r="H199" s="338">
        <f>H200+H225+H230</f>
        <v>9990.7717600000014</v>
      </c>
      <c r="I199" s="338">
        <f t="shared" si="8"/>
        <v>92.189266834547254</v>
      </c>
    </row>
    <row r="200" spans="1:10" ht="15.75" x14ac:dyDescent="0.25">
      <c r="A200" s="116" t="s">
        <v>97</v>
      </c>
      <c r="B200" s="432">
        <v>902</v>
      </c>
      <c r="C200" s="481" t="s">
        <v>120</v>
      </c>
      <c r="D200" s="481" t="s">
        <v>134</v>
      </c>
      <c r="E200" s="481" t="s">
        <v>329</v>
      </c>
      <c r="F200" s="481"/>
      <c r="G200" s="338">
        <f>G215+G201</f>
        <v>10008.644829999999</v>
      </c>
      <c r="H200" s="338">
        <f>H215+H201</f>
        <v>9703.7514400000018</v>
      </c>
      <c r="I200" s="338">
        <f t="shared" si="8"/>
        <v>96.953699574930383</v>
      </c>
    </row>
    <row r="201" spans="1:10" ht="15.75" x14ac:dyDescent="0.25">
      <c r="A201" s="116" t="s">
        <v>736</v>
      </c>
      <c r="B201" s="432">
        <v>902</v>
      </c>
      <c r="C201" s="481" t="s">
        <v>120</v>
      </c>
      <c r="D201" s="481" t="s">
        <v>134</v>
      </c>
      <c r="E201" s="481" t="s">
        <v>384</v>
      </c>
      <c r="F201" s="481"/>
      <c r="G201" s="338">
        <f>G202+G205+G212</f>
        <v>9588.5118699999985</v>
      </c>
      <c r="H201" s="338">
        <f>H202+H205+H212</f>
        <v>9588.0614400000013</v>
      </c>
      <c r="I201" s="338">
        <f t="shared" si="8"/>
        <v>99.99530239930759</v>
      </c>
    </row>
    <row r="202" spans="1:10" ht="31.5" x14ac:dyDescent="0.25">
      <c r="A202" s="335" t="s">
        <v>304</v>
      </c>
      <c r="B202" s="482">
        <v>902</v>
      </c>
      <c r="C202" s="268" t="s">
        <v>120</v>
      </c>
      <c r="D202" s="268" t="s">
        <v>134</v>
      </c>
      <c r="E202" s="268" t="s">
        <v>387</v>
      </c>
      <c r="F202" s="268"/>
      <c r="G202" s="337">
        <f>G203</f>
        <v>181.60300000000001</v>
      </c>
      <c r="H202" s="337">
        <f>H203</f>
        <v>328.22300000000001</v>
      </c>
      <c r="I202" s="337">
        <f t="shared" si="8"/>
        <v>180.73655170894753</v>
      </c>
    </row>
    <row r="203" spans="1:10" ht="78.75" x14ac:dyDescent="0.25">
      <c r="A203" s="335" t="s">
        <v>84</v>
      </c>
      <c r="B203" s="482">
        <v>902</v>
      </c>
      <c r="C203" s="268" t="s">
        <v>120</v>
      </c>
      <c r="D203" s="268" t="s">
        <v>134</v>
      </c>
      <c r="E203" s="268" t="s">
        <v>387</v>
      </c>
      <c r="F203" s="268" t="s">
        <v>85</v>
      </c>
      <c r="G203" s="337">
        <f>G204</f>
        <v>181.60300000000001</v>
      </c>
      <c r="H203" s="337">
        <f>H204</f>
        <v>328.22300000000001</v>
      </c>
      <c r="I203" s="337">
        <f t="shared" si="8"/>
        <v>180.73655170894753</v>
      </c>
    </row>
    <row r="204" spans="1:10" ht="15.75" x14ac:dyDescent="0.25">
      <c r="A204" s="335" t="s">
        <v>168</v>
      </c>
      <c r="B204" s="482">
        <v>902</v>
      </c>
      <c r="C204" s="268" t="s">
        <v>120</v>
      </c>
      <c r="D204" s="268" t="s">
        <v>134</v>
      </c>
      <c r="E204" s="268" t="s">
        <v>387</v>
      </c>
      <c r="F204" s="268" t="s">
        <v>117</v>
      </c>
      <c r="G204" s="337">
        <f>258-73.31-3.087</f>
        <v>181.60300000000001</v>
      </c>
      <c r="H204" s="337">
        <v>328.22300000000001</v>
      </c>
      <c r="I204" s="337">
        <f t="shared" ref="I204:I267" si="17">H204/G204*100</f>
        <v>180.73655170894753</v>
      </c>
    </row>
    <row r="205" spans="1:10" ht="15.75" x14ac:dyDescent="0.25">
      <c r="A205" s="335" t="s">
        <v>283</v>
      </c>
      <c r="B205" s="482">
        <v>902</v>
      </c>
      <c r="C205" s="268" t="s">
        <v>120</v>
      </c>
      <c r="D205" s="268" t="s">
        <v>134</v>
      </c>
      <c r="E205" s="268" t="s">
        <v>386</v>
      </c>
      <c r="F205" s="268"/>
      <c r="G205" s="337">
        <f>G206+G208+G210</f>
        <v>9265.8988699999991</v>
      </c>
      <c r="H205" s="337">
        <f>H206+H208+H210</f>
        <v>9118.8284400000011</v>
      </c>
      <c r="I205" s="337">
        <f t="shared" si="17"/>
        <v>98.412777518259304</v>
      </c>
    </row>
    <row r="206" spans="1:10" ht="78.75" x14ac:dyDescent="0.25">
      <c r="A206" s="335" t="s">
        <v>84</v>
      </c>
      <c r="B206" s="482">
        <v>902</v>
      </c>
      <c r="C206" s="268" t="s">
        <v>120</v>
      </c>
      <c r="D206" s="268" t="s">
        <v>134</v>
      </c>
      <c r="E206" s="268" t="s">
        <v>386</v>
      </c>
      <c r="F206" s="268" t="s">
        <v>85</v>
      </c>
      <c r="G206" s="337">
        <f>G207</f>
        <v>8593.1758699999991</v>
      </c>
      <c r="H206" s="337">
        <f>H207</f>
        <v>8592.9254400000009</v>
      </c>
      <c r="I206" s="337">
        <f t="shared" si="17"/>
        <v>99.997085710757148</v>
      </c>
    </row>
    <row r="207" spans="1:10" ht="15.75" x14ac:dyDescent="0.25">
      <c r="A207" s="335" t="s">
        <v>168</v>
      </c>
      <c r="B207" s="482">
        <v>902</v>
      </c>
      <c r="C207" s="268" t="s">
        <v>120</v>
      </c>
      <c r="D207" s="268" t="s">
        <v>134</v>
      </c>
      <c r="E207" s="268" t="s">
        <v>386</v>
      </c>
      <c r="F207" s="268" t="s">
        <v>117</v>
      </c>
      <c r="G207" s="337">
        <f>7999.2+407.219+193.5633-8.17+1.36357</f>
        <v>8593.1758699999991</v>
      </c>
      <c r="H207" s="337">
        <v>8592.9254400000009</v>
      </c>
      <c r="I207" s="337">
        <f t="shared" si="17"/>
        <v>99.997085710757148</v>
      </c>
    </row>
    <row r="208" spans="1:10" ht="31.5" x14ac:dyDescent="0.25">
      <c r="A208" s="335" t="s">
        <v>88</v>
      </c>
      <c r="B208" s="482">
        <v>902</v>
      </c>
      <c r="C208" s="268" t="s">
        <v>120</v>
      </c>
      <c r="D208" s="268" t="s">
        <v>134</v>
      </c>
      <c r="E208" s="268" t="s">
        <v>386</v>
      </c>
      <c r="F208" s="268" t="s">
        <v>89</v>
      </c>
      <c r="G208" s="337">
        <f>G209</f>
        <v>672.72299999999984</v>
      </c>
      <c r="H208" s="337">
        <f>H209</f>
        <v>525.90300000000002</v>
      </c>
      <c r="I208" s="337">
        <f t="shared" si="17"/>
        <v>78.175266788856661</v>
      </c>
    </row>
    <row r="209" spans="1:10" ht="31.5" x14ac:dyDescent="0.25">
      <c r="A209" s="335" t="s">
        <v>90</v>
      </c>
      <c r="B209" s="482">
        <v>902</v>
      </c>
      <c r="C209" s="268" t="s">
        <v>120</v>
      </c>
      <c r="D209" s="268" t="s">
        <v>134</v>
      </c>
      <c r="E209" s="268" t="s">
        <v>386</v>
      </c>
      <c r="F209" s="268" t="s">
        <v>91</v>
      </c>
      <c r="G209" s="337">
        <f>313+73.31+19+5.16+29.5+197.38276+23+11.257-1.10676-0.08+2.3</f>
        <v>672.72299999999984</v>
      </c>
      <c r="H209" s="337">
        <v>525.90300000000002</v>
      </c>
      <c r="I209" s="337">
        <f t="shared" si="17"/>
        <v>78.175266788856661</v>
      </c>
      <c r="J209" s="341"/>
    </row>
    <row r="210" spans="1:10" ht="15.75" hidden="1" x14ac:dyDescent="0.25">
      <c r="A210" s="335" t="s">
        <v>92</v>
      </c>
      <c r="B210" s="482">
        <v>902</v>
      </c>
      <c r="C210" s="268" t="s">
        <v>120</v>
      </c>
      <c r="D210" s="268" t="s">
        <v>134</v>
      </c>
      <c r="E210" s="268" t="s">
        <v>386</v>
      </c>
      <c r="F210" s="268" t="s">
        <v>98</v>
      </c>
      <c r="G210" s="337">
        <f>G211</f>
        <v>0</v>
      </c>
      <c r="H210" s="337">
        <f>H211</f>
        <v>0</v>
      </c>
      <c r="I210" s="337" t="e">
        <f t="shared" si="17"/>
        <v>#DIV/0!</v>
      </c>
    </row>
    <row r="211" spans="1:10" ht="15.75" hidden="1" x14ac:dyDescent="0.25">
      <c r="A211" s="335" t="s">
        <v>223</v>
      </c>
      <c r="B211" s="482">
        <v>902</v>
      </c>
      <c r="C211" s="268" t="s">
        <v>120</v>
      </c>
      <c r="D211" s="268" t="s">
        <v>134</v>
      </c>
      <c r="E211" s="268" t="s">
        <v>386</v>
      </c>
      <c r="F211" s="268" t="s">
        <v>94</v>
      </c>
      <c r="G211" s="337">
        <v>0</v>
      </c>
      <c r="H211" s="337">
        <v>0</v>
      </c>
      <c r="I211" s="337" t="e">
        <f t="shared" si="17"/>
        <v>#DIV/0!</v>
      </c>
    </row>
    <row r="212" spans="1:10" ht="31.5" x14ac:dyDescent="0.25">
      <c r="A212" s="335" t="s">
        <v>1118</v>
      </c>
      <c r="B212" s="482">
        <v>902</v>
      </c>
      <c r="C212" s="268" t="s">
        <v>120</v>
      </c>
      <c r="D212" s="268" t="s">
        <v>134</v>
      </c>
      <c r="E212" s="268" t="s">
        <v>1119</v>
      </c>
      <c r="F212" s="268"/>
      <c r="G212" s="337">
        <f>G213</f>
        <v>141.01</v>
      </c>
      <c r="H212" s="337">
        <f>H213</f>
        <v>141.01</v>
      </c>
      <c r="I212" s="337">
        <f t="shared" si="17"/>
        <v>100</v>
      </c>
    </row>
    <row r="213" spans="1:10" ht="66.75" customHeight="1" x14ac:dyDescent="0.25">
      <c r="A213" s="335" t="s">
        <v>84</v>
      </c>
      <c r="B213" s="482">
        <v>902</v>
      </c>
      <c r="C213" s="268" t="s">
        <v>120</v>
      </c>
      <c r="D213" s="268" t="s">
        <v>134</v>
      </c>
      <c r="E213" s="268" t="s">
        <v>1119</v>
      </c>
      <c r="F213" s="268" t="s">
        <v>85</v>
      </c>
      <c r="G213" s="337">
        <f>G214</f>
        <v>141.01</v>
      </c>
      <c r="H213" s="337">
        <f>H214</f>
        <v>141.01</v>
      </c>
      <c r="I213" s="337">
        <f t="shared" si="17"/>
        <v>100</v>
      </c>
    </row>
    <row r="214" spans="1:10" ht="15.75" x14ac:dyDescent="0.25">
      <c r="A214" s="335" t="s">
        <v>168</v>
      </c>
      <c r="B214" s="482">
        <v>902</v>
      </c>
      <c r="C214" s="268" t="s">
        <v>120</v>
      </c>
      <c r="D214" s="268" t="s">
        <v>134</v>
      </c>
      <c r="E214" s="268" t="s">
        <v>1119</v>
      </c>
      <c r="F214" s="268" t="s">
        <v>117</v>
      </c>
      <c r="G214" s="337">
        <f>108.3+32.71</f>
        <v>141.01</v>
      </c>
      <c r="H214" s="337">
        <v>141.01</v>
      </c>
      <c r="I214" s="337">
        <f t="shared" si="17"/>
        <v>100</v>
      </c>
    </row>
    <row r="215" spans="1:10" ht="31.5" x14ac:dyDescent="0.25">
      <c r="A215" s="116" t="s">
        <v>330</v>
      </c>
      <c r="B215" s="432">
        <v>902</v>
      </c>
      <c r="C215" s="481" t="s">
        <v>120</v>
      </c>
      <c r="D215" s="481" t="s">
        <v>134</v>
      </c>
      <c r="E215" s="481" t="s">
        <v>328</v>
      </c>
      <c r="F215" s="481"/>
      <c r="G215" s="338">
        <f>G216+G219+G222</f>
        <v>420.13296000000003</v>
      </c>
      <c r="H215" s="338">
        <f>H216+H219+H222</f>
        <v>115.69</v>
      </c>
      <c r="I215" s="338">
        <f t="shared" si="17"/>
        <v>27.536520819504375</v>
      </c>
    </row>
    <row r="216" spans="1:10" ht="47.25" x14ac:dyDescent="0.25">
      <c r="A216" s="335" t="s">
        <v>125</v>
      </c>
      <c r="B216" s="482">
        <v>902</v>
      </c>
      <c r="C216" s="268" t="s">
        <v>120</v>
      </c>
      <c r="D216" s="268" t="s">
        <v>134</v>
      </c>
      <c r="E216" s="268" t="s">
        <v>332</v>
      </c>
      <c r="F216" s="268"/>
      <c r="G216" s="337">
        <f>G217</f>
        <v>420.13296000000003</v>
      </c>
      <c r="H216" s="337">
        <f>H217</f>
        <v>115.69</v>
      </c>
      <c r="I216" s="337">
        <f t="shared" si="17"/>
        <v>27.536520819504375</v>
      </c>
    </row>
    <row r="217" spans="1:10" ht="31.5" x14ac:dyDescent="0.25">
      <c r="A217" s="335" t="s">
        <v>114</v>
      </c>
      <c r="B217" s="482">
        <v>902</v>
      </c>
      <c r="C217" s="268" t="s">
        <v>120</v>
      </c>
      <c r="D217" s="268" t="s">
        <v>134</v>
      </c>
      <c r="E217" s="268" t="s">
        <v>332</v>
      </c>
      <c r="F217" s="268" t="s">
        <v>89</v>
      </c>
      <c r="G217" s="337">
        <f>G218</f>
        <v>420.13296000000003</v>
      </c>
      <c r="H217" s="337">
        <f>H218</f>
        <v>115.69</v>
      </c>
      <c r="I217" s="337">
        <f t="shared" si="17"/>
        <v>27.536520819504375</v>
      </c>
    </row>
    <row r="218" spans="1:10" ht="31.5" x14ac:dyDescent="0.25">
      <c r="A218" s="335" t="s">
        <v>90</v>
      </c>
      <c r="B218" s="482">
        <v>902</v>
      </c>
      <c r="C218" s="268" t="s">
        <v>120</v>
      </c>
      <c r="D218" s="268" t="s">
        <v>134</v>
      </c>
      <c r="E218" s="268" t="s">
        <v>332</v>
      </c>
      <c r="F218" s="268" t="s">
        <v>91</v>
      </c>
      <c r="G218" s="466">
        <f>200+212.77296+7.36</f>
        <v>420.13296000000003</v>
      </c>
      <c r="H218" s="466">
        <v>115.69</v>
      </c>
      <c r="I218" s="337">
        <f t="shared" si="17"/>
        <v>27.536520819504375</v>
      </c>
    </row>
    <row r="219" spans="1:10" ht="15.75" hidden="1" x14ac:dyDescent="0.25">
      <c r="A219" s="335" t="s">
        <v>126</v>
      </c>
      <c r="B219" s="482">
        <v>902</v>
      </c>
      <c r="C219" s="268" t="s">
        <v>120</v>
      </c>
      <c r="D219" s="268" t="s">
        <v>134</v>
      </c>
      <c r="E219" s="268" t="s">
        <v>333</v>
      </c>
      <c r="F219" s="268"/>
      <c r="G219" s="271">
        <f>G220</f>
        <v>0</v>
      </c>
      <c r="H219" s="271">
        <f>H220</f>
        <v>0</v>
      </c>
      <c r="I219" s="337" t="e">
        <f t="shared" si="17"/>
        <v>#DIV/0!</v>
      </c>
    </row>
    <row r="220" spans="1:10" ht="31.5" hidden="1" x14ac:dyDescent="0.25">
      <c r="A220" s="335" t="s">
        <v>114</v>
      </c>
      <c r="B220" s="482">
        <v>902</v>
      </c>
      <c r="C220" s="268" t="s">
        <v>120</v>
      </c>
      <c r="D220" s="268" t="s">
        <v>134</v>
      </c>
      <c r="E220" s="268" t="s">
        <v>333</v>
      </c>
      <c r="F220" s="268" t="s">
        <v>89</v>
      </c>
      <c r="G220" s="271">
        <f>G221</f>
        <v>0</v>
      </c>
      <c r="H220" s="271">
        <f>H221</f>
        <v>0</v>
      </c>
      <c r="I220" s="337" t="e">
        <f t="shared" si="17"/>
        <v>#DIV/0!</v>
      </c>
    </row>
    <row r="221" spans="1:10" ht="31.5" hidden="1" x14ac:dyDescent="0.25">
      <c r="A221" s="335" t="s">
        <v>90</v>
      </c>
      <c r="B221" s="482">
        <v>902</v>
      </c>
      <c r="C221" s="268" t="s">
        <v>120</v>
      </c>
      <c r="D221" s="268" t="s">
        <v>134</v>
      </c>
      <c r="E221" s="268" t="s">
        <v>333</v>
      </c>
      <c r="F221" s="268" t="s">
        <v>91</v>
      </c>
      <c r="G221" s="271">
        <f>99+0.75785-99.75785</f>
        <v>0</v>
      </c>
      <c r="H221" s="271">
        <f>99+0.75785-99.75785</f>
        <v>0</v>
      </c>
      <c r="I221" s="337" t="e">
        <f t="shared" si="17"/>
        <v>#DIV/0!</v>
      </c>
      <c r="J221" s="341"/>
    </row>
    <row r="222" spans="1:10" ht="81" hidden="1" customHeight="1" x14ac:dyDescent="0.25">
      <c r="A222" s="335" t="s">
        <v>1069</v>
      </c>
      <c r="B222" s="482">
        <v>902</v>
      </c>
      <c r="C222" s="268" t="s">
        <v>120</v>
      </c>
      <c r="D222" s="268" t="s">
        <v>134</v>
      </c>
      <c r="E222" s="268" t="s">
        <v>1060</v>
      </c>
      <c r="F222" s="487"/>
      <c r="G222" s="337">
        <f t="shared" ref="G222:H223" si="18">G223</f>
        <v>0</v>
      </c>
      <c r="H222" s="337">
        <f t="shared" si="18"/>
        <v>0</v>
      </c>
      <c r="I222" s="337" t="e">
        <f t="shared" si="17"/>
        <v>#DIV/0!</v>
      </c>
    </row>
    <row r="223" spans="1:10" ht="44.25" hidden="1" customHeight="1" x14ac:dyDescent="0.25">
      <c r="A223" s="335" t="s">
        <v>114</v>
      </c>
      <c r="B223" s="482">
        <v>902</v>
      </c>
      <c r="C223" s="268" t="s">
        <v>120</v>
      </c>
      <c r="D223" s="268" t="s">
        <v>134</v>
      </c>
      <c r="E223" s="268" t="s">
        <v>1060</v>
      </c>
      <c r="F223" s="487" t="s">
        <v>89</v>
      </c>
      <c r="G223" s="337">
        <f t="shared" si="18"/>
        <v>0</v>
      </c>
      <c r="H223" s="337">
        <f t="shared" si="18"/>
        <v>0</v>
      </c>
      <c r="I223" s="337" t="e">
        <f t="shared" si="17"/>
        <v>#DIV/0!</v>
      </c>
    </row>
    <row r="224" spans="1:10" ht="52.5" hidden="1" customHeight="1" x14ac:dyDescent="0.25">
      <c r="A224" s="335" t="s">
        <v>90</v>
      </c>
      <c r="B224" s="482">
        <v>902</v>
      </c>
      <c r="C224" s="268" t="s">
        <v>120</v>
      </c>
      <c r="D224" s="268" t="s">
        <v>134</v>
      </c>
      <c r="E224" s="268" t="s">
        <v>1060</v>
      </c>
      <c r="F224" s="487" t="s">
        <v>91</v>
      </c>
      <c r="G224" s="337">
        <f>804.1+45.9-850</f>
        <v>0</v>
      </c>
      <c r="H224" s="337">
        <f>804.1+45.9-850</f>
        <v>0</v>
      </c>
      <c r="I224" s="337" t="e">
        <f t="shared" si="17"/>
        <v>#DIV/0!</v>
      </c>
    </row>
    <row r="225" spans="1:10" ht="47.25" hidden="1" x14ac:dyDescent="0.25">
      <c r="A225" s="130" t="s">
        <v>853</v>
      </c>
      <c r="B225" s="432">
        <v>902</v>
      </c>
      <c r="C225" s="481" t="s">
        <v>120</v>
      </c>
      <c r="D225" s="481" t="s">
        <v>134</v>
      </c>
      <c r="E225" s="481" t="s">
        <v>259</v>
      </c>
      <c r="F225" s="268"/>
      <c r="G225" s="338">
        <f t="shared" ref="G225:H228" si="19">G226</f>
        <v>0</v>
      </c>
      <c r="H225" s="338">
        <f t="shared" si="19"/>
        <v>0</v>
      </c>
      <c r="I225" s="337" t="e">
        <f t="shared" si="17"/>
        <v>#DIV/0!</v>
      </c>
    </row>
    <row r="226" spans="1:10" ht="31.5" hidden="1" x14ac:dyDescent="0.25">
      <c r="A226" s="180" t="s">
        <v>702</v>
      </c>
      <c r="B226" s="432">
        <v>902</v>
      </c>
      <c r="C226" s="481" t="s">
        <v>120</v>
      </c>
      <c r="D226" s="481" t="s">
        <v>134</v>
      </c>
      <c r="E226" s="481" t="s">
        <v>703</v>
      </c>
      <c r="F226" s="486"/>
      <c r="G226" s="338">
        <f t="shared" si="19"/>
        <v>0</v>
      </c>
      <c r="H226" s="338">
        <f t="shared" si="19"/>
        <v>0</v>
      </c>
      <c r="I226" s="337" t="e">
        <f t="shared" si="17"/>
        <v>#DIV/0!</v>
      </c>
    </row>
    <row r="227" spans="1:10" ht="15.75" hidden="1" x14ac:dyDescent="0.25">
      <c r="A227" s="335" t="s">
        <v>126</v>
      </c>
      <c r="B227" s="482">
        <v>902</v>
      </c>
      <c r="C227" s="268" t="s">
        <v>120</v>
      </c>
      <c r="D227" s="268" t="s">
        <v>134</v>
      </c>
      <c r="E227" s="268" t="s">
        <v>704</v>
      </c>
      <c r="F227" s="487"/>
      <c r="G227" s="337">
        <f t="shared" si="19"/>
        <v>0</v>
      </c>
      <c r="H227" s="337">
        <f t="shared" si="19"/>
        <v>0</v>
      </c>
      <c r="I227" s="337" t="e">
        <f t="shared" si="17"/>
        <v>#DIV/0!</v>
      </c>
    </row>
    <row r="228" spans="1:10" ht="31.5" hidden="1" x14ac:dyDescent="0.25">
      <c r="A228" s="335" t="s">
        <v>88</v>
      </c>
      <c r="B228" s="482">
        <v>902</v>
      </c>
      <c r="C228" s="268" t="s">
        <v>120</v>
      </c>
      <c r="D228" s="268" t="s">
        <v>134</v>
      </c>
      <c r="E228" s="268" t="s">
        <v>704</v>
      </c>
      <c r="F228" s="487" t="s">
        <v>89</v>
      </c>
      <c r="G228" s="337">
        <f t="shared" si="19"/>
        <v>0</v>
      </c>
      <c r="H228" s="337">
        <f t="shared" si="19"/>
        <v>0</v>
      </c>
      <c r="I228" s="337" t="e">
        <f t="shared" si="17"/>
        <v>#DIV/0!</v>
      </c>
    </row>
    <row r="229" spans="1:10" ht="31.5" hidden="1" x14ac:dyDescent="0.25">
      <c r="A229" s="335" t="s">
        <v>90</v>
      </c>
      <c r="B229" s="482">
        <v>902</v>
      </c>
      <c r="C229" s="268" t="s">
        <v>120</v>
      </c>
      <c r="D229" s="268" t="s">
        <v>134</v>
      </c>
      <c r="E229" s="268" t="s">
        <v>704</v>
      </c>
      <c r="F229" s="487" t="s">
        <v>91</v>
      </c>
      <c r="G229" s="337">
        <f>100-100</f>
        <v>0</v>
      </c>
      <c r="H229" s="337">
        <f>100-100</f>
        <v>0</v>
      </c>
      <c r="I229" s="337" t="e">
        <f t="shared" si="17"/>
        <v>#DIV/0!</v>
      </c>
    </row>
    <row r="230" spans="1:10" ht="63" x14ac:dyDescent="0.25">
      <c r="A230" s="30" t="s">
        <v>1101</v>
      </c>
      <c r="B230" s="432">
        <v>902</v>
      </c>
      <c r="C230" s="481" t="s">
        <v>120</v>
      </c>
      <c r="D230" s="481" t="s">
        <v>134</v>
      </c>
      <c r="E230" s="481" t="s">
        <v>1103</v>
      </c>
      <c r="F230" s="338"/>
      <c r="G230" s="338">
        <f t="shared" ref="G230:H233" si="20">G231</f>
        <v>828.59479999999996</v>
      </c>
      <c r="H230" s="338">
        <f t="shared" si="20"/>
        <v>287.02032000000003</v>
      </c>
      <c r="I230" s="338">
        <f t="shared" si="17"/>
        <v>34.639406378123546</v>
      </c>
    </row>
    <row r="231" spans="1:10" ht="47.25" x14ac:dyDescent="0.25">
      <c r="A231" s="26" t="s">
        <v>1102</v>
      </c>
      <c r="B231" s="482">
        <v>902</v>
      </c>
      <c r="C231" s="268" t="s">
        <v>120</v>
      </c>
      <c r="D231" s="268" t="s">
        <v>134</v>
      </c>
      <c r="E231" s="268" t="s">
        <v>1104</v>
      </c>
      <c r="F231" s="337"/>
      <c r="G231" s="337">
        <f t="shared" si="20"/>
        <v>828.59479999999996</v>
      </c>
      <c r="H231" s="337">
        <f t="shared" si="20"/>
        <v>287.02032000000003</v>
      </c>
      <c r="I231" s="337">
        <f t="shared" si="17"/>
        <v>34.639406378123546</v>
      </c>
    </row>
    <row r="232" spans="1:10" ht="63" x14ac:dyDescent="0.25">
      <c r="A232" s="335" t="s">
        <v>1069</v>
      </c>
      <c r="B232" s="482">
        <v>902</v>
      </c>
      <c r="C232" s="268" t="s">
        <v>120</v>
      </c>
      <c r="D232" s="268" t="s">
        <v>134</v>
      </c>
      <c r="E232" s="268" t="s">
        <v>1105</v>
      </c>
      <c r="F232" s="337"/>
      <c r="G232" s="337">
        <f t="shared" si="20"/>
        <v>828.59479999999996</v>
      </c>
      <c r="H232" s="337">
        <f t="shared" si="20"/>
        <v>287.02032000000003</v>
      </c>
      <c r="I232" s="337">
        <f t="shared" si="17"/>
        <v>34.639406378123546</v>
      </c>
    </row>
    <row r="233" spans="1:10" ht="31.5" x14ac:dyDescent="0.25">
      <c r="A233" s="335" t="s">
        <v>88</v>
      </c>
      <c r="B233" s="482">
        <v>902</v>
      </c>
      <c r="C233" s="268" t="s">
        <v>120</v>
      </c>
      <c r="D233" s="268" t="s">
        <v>134</v>
      </c>
      <c r="E233" s="268" t="s">
        <v>1105</v>
      </c>
      <c r="F233" s="487" t="s">
        <v>89</v>
      </c>
      <c r="G233" s="337">
        <f t="shared" si="20"/>
        <v>828.59479999999996</v>
      </c>
      <c r="H233" s="337">
        <f t="shared" si="20"/>
        <v>287.02032000000003</v>
      </c>
      <c r="I233" s="337">
        <f t="shared" si="17"/>
        <v>34.639406378123546</v>
      </c>
    </row>
    <row r="234" spans="1:10" ht="31.5" x14ac:dyDescent="0.25">
      <c r="A234" s="335" t="s">
        <v>90</v>
      </c>
      <c r="B234" s="482">
        <v>902</v>
      </c>
      <c r="C234" s="268" t="s">
        <v>120</v>
      </c>
      <c r="D234" s="268" t="s">
        <v>134</v>
      </c>
      <c r="E234" s="268" t="s">
        <v>1105</v>
      </c>
      <c r="F234" s="487" t="s">
        <v>91</v>
      </c>
      <c r="G234" s="337">
        <f>804.1+45.9-21.4052</f>
        <v>828.59479999999996</v>
      </c>
      <c r="H234" s="337">
        <v>287.02032000000003</v>
      </c>
      <c r="I234" s="337">
        <f t="shared" si="17"/>
        <v>34.639406378123546</v>
      </c>
      <c r="J234" s="341"/>
    </row>
    <row r="235" spans="1:10" ht="15.75" x14ac:dyDescent="0.25">
      <c r="A235" s="116" t="s">
        <v>127</v>
      </c>
      <c r="B235" s="432">
        <v>902</v>
      </c>
      <c r="C235" s="481" t="s">
        <v>103</v>
      </c>
      <c r="D235" s="481"/>
      <c r="E235" s="481"/>
      <c r="F235" s="268"/>
      <c r="G235" s="338">
        <f>G246+G236</f>
        <v>1623.1723999999999</v>
      </c>
      <c r="H235" s="338">
        <f>H246+H236</f>
        <v>1623.1695300000001</v>
      </c>
      <c r="I235" s="338">
        <f t="shared" si="17"/>
        <v>99.999823185756497</v>
      </c>
      <c r="J235" s="281"/>
    </row>
    <row r="236" spans="1:10" ht="15.75" hidden="1" x14ac:dyDescent="0.25">
      <c r="A236" s="116" t="s">
        <v>128</v>
      </c>
      <c r="B236" s="432">
        <v>902</v>
      </c>
      <c r="C236" s="481" t="s">
        <v>103</v>
      </c>
      <c r="D236" s="481" t="s">
        <v>129</v>
      </c>
      <c r="E236" s="481"/>
      <c r="F236" s="268"/>
      <c r="G236" s="338">
        <f>G237</f>
        <v>0</v>
      </c>
      <c r="H236" s="338">
        <f>H237</f>
        <v>0</v>
      </c>
      <c r="I236" s="338" t="e">
        <f t="shared" si="17"/>
        <v>#DIV/0!</v>
      </c>
    </row>
    <row r="237" spans="1:10" ht="42.4" hidden="1" customHeight="1" x14ac:dyDescent="0.25">
      <c r="A237" s="22" t="s">
        <v>895</v>
      </c>
      <c r="B237" s="432">
        <v>902</v>
      </c>
      <c r="C237" s="481" t="s">
        <v>103</v>
      </c>
      <c r="D237" s="481" t="s">
        <v>129</v>
      </c>
      <c r="E237" s="398" t="s">
        <v>109</v>
      </c>
      <c r="F237" s="486"/>
      <c r="G237" s="338">
        <f>G238+G242</f>
        <v>0</v>
      </c>
      <c r="H237" s="338">
        <f>H238+H242</f>
        <v>0</v>
      </c>
      <c r="I237" s="338" t="e">
        <f t="shared" si="17"/>
        <v>#DIV/0!</v>
      </c>
    </row>
    <row r="238" spans="1:10" ht="35.450000000000003" hidden="1" customHeight="1" x14ac:dyDescent="0.25">
      <c r="A238" s="22" t="s">
        <v>434</v>
      </c>
      <c r="B238" s="432">
        <v>902</v>
      </c>
      <c r="C238" s="481" t="s">
        <v>103</v>
      </c>
      <c r="D238" s="481" t="s">
        <v>129</v>
      </c>
      <c r="E238" s="490" t="s">
        <v>334</v>
      </c>
      <c r="F238" s="486"/>
      <c r="G238" s="338">
        <f t="shared" ref="G238:H240" si="21">G239</f>
        <v>0</v>
      </c>
      <c r="H238" s="338">
        <f t="shared" si="21"/>
        <v>0</v>
      </c>
      <c r="I238" s="338" t="e">
        <f t="shared" si="17"/>
        <v>#DIV/0!</v>
      </c>
    </row>
    <row r="239" spans="1:10" ht="31.5" hidden="1" x14ac:dyDescent="0.25">
      <c r="A239" s="335" t="s">
        <v>130</v>
      </c>
      <c r="B239" s="482">
        <v>902</v>
      </c>
      <c r="C239" s="268" t="s">
        <v>103</v>
      </c>
      <c r="D239" s="268" t="s">
        <v>129</v>
      </c>
      <c r="E239" s="268" t="s">
        <v>347</v>
      </c>
      <c r="F239" s="487"/>
      <c r="G239" s="337">
        <f t="shared" si="21"/>
        <v>0</v>
      </c>
      <c r="H239" s="337">
        <f t="shared" si="21"/>
        <v>0</v>
      </c>
      <c r="I239" s="338" t="e">
        <f t="shared" si="17"/>
        <v>#DIV/0!</v>
      </c>
    </row>
    <row r="240" spans="1:10" ht="15.75" hidden="1" x14ac:dyDescent="0.25">
      <c r="A240" s="19" t="s">
        <v>92</v>
      </c>
      <c r="B240" s="482">
        <v>902</v>
      </c>
      <c r="C240" s="268" t="s">
        <v>103</v>
      </c>
      <c r="D240" s="268" t="s">
        <v>129</v>
      </c>
      <c r="E240" s="268" t="s">
        <v>347</v>
      </c>
      <c r="F240" s="487" t="s">
        <v>98</v>
      </c>
      <c r="G240" s="337">
        <f t="shared" si="21"/>
        <v>0</v>
      </c>
      <c r="H240" s="337">
        <f t="shared" si="21"/>
        <v>0</v>
      </c>
      <c r="I240" s="338" t="e">
        <f t="shared" si="17"/>
        <v>#DIV/0!</v>
      </c>
    </row>
    <row r="241" spans="1:10" ht="47.25" hidden="1" x14ac:dyDescent="0.25">
      <c r="A241" s="19" t="s">
        <v>110</v>
      </c>
      <c r="B241" s="482">
        <v>902</v>
      </c>
      <c r="C241" s="268" t="s">
        <v>103</v>
      </c>
      <c r="D241" s="268" t="s">
        <v>129</v>
      </c>
      <c r="E241" s="268" t="s">
        <v>347</v>
      </c>
      <c r="F241" s="487" t="s">
        <v>105</v>
      </c>
      <c r="G241" s="337">
        <f>256.2-237.2-19</f>
        <v>0</v>
      </c>
      <c r="H241" s="337">
        <f>256.2-237.2-19</f>
        <v>0</v>
      </c>
      <c r="I241" s="338" t="e">
        <f t="shared" si="17"/>
        <v>#DIV/0!</v>
      </c>
      <c r="J241" s="341"/>
    </row>
    <row r="242" spans="1:10" ht="31.5" hidden="1" x14ac:dyDescent="0.25">
      <c r="A242" s="180" t="s">
        <v>435</v>
      </c>
      <c r="B242" s="432">
        <v>902</v>
      </c>
      <c r="C242" s="481" t="s">
        <v>103</v>
      </c>
      <c r="D242" s="481" t="s">
        <v>129</v>
      </c>
      <c r="E242" s="398" t="s">
        <v>336</v>
      </c>
      <c r="F242" s="486"/>
      <c r="G242" s="338">
        <f t="shared" ref="G242:H244" si="22">G243</f>
        <v>0</v>
      </c>
      <c r="H242" s="338">
        <f t="shared" si="22"/>
        <v>0</v>
      </c>
      <c r="I242" s="338" t="e">
        <f t="shared" si="17"/>
        <v>#DIV/0!</v>
      </c>
    </row>
    <row r="243" spans="1:10" ht="15.75" hidden="1" x14ac:dyDescent="0.25">
      <c r="A243" s="335" t="s">
        <v>335</v>
      </c>
      <c r="B243" s="482">
        <v>902</v>
      </c>
      <c r="C243" s="268" t="s">
        <v>103</v>
      </c>
      <c r="D243" s="268" t="s">
        <v>129</v>
      </c>
      <c r="E243" s="399" t="s">
        <v>348</v>
      </c>
      <c r="F243" s="487"/>
      <c r="G243" s="337">
        <f t="shared" si="22"/>
        <v>0</v>
      </c>
      <c r="H243" s="337">
        <f t="shared" si="22"/>
        <v>0</v>
      </c>
      <c r="I243" s="338" t="e">
        <f t="shared" si="17"/>
        <v>#DIV/0!</v>
      </c>
    </row>
    <row r="244" spans="1:10" ht="15.75" hidden="1" x14ac:dyDescent="0.25">
      <c r="A244" s="19" t="s">
        <v>92</v>
      </c>
      <c r="B244" s="482">
        <v>902</v>
      </c>
      <c r="C244" s="268" t="s">
        <v>103</v>
      </c>
      <c r="D244" s="268" t="s">
        <v>129</v>
      </c>
      <c r="E244" s="399" t="s">
        <v>348</v>
      </c>
      <c r="F244" s="487" t="s">
        <v>98</v>
      </c>
      <c r="G244" s="337">
        <f t="shared" si="22"/>
        <v>0</v>
      </c>
      <c r="H244" s="337">
        <f t="shared" si="22"/>
        <v>0</v>
      </c>
      <c r="I244" s="338" t="e">
        <f t="shared" si="17"/>
        <v>#DIV/0!</v>
      </c>
    </row>
    <row r="245" spans="1:10" ht="47.25" hidden="1" x14ac:dyDescent="0.25">
      <c r="A245" s="19" t="s">
        <v>110</v>
      </c>
      <c r="B245" s="482">
        <v>902</v>
      </c>
      <c r="C245" s="268" t="s">
        <v>103</v>
      </c>
      <c r="D245" s="268" t="s">
        <v>129</v>
      </c>
      <c r="E245" s="399" t="s">
        <v>348</v>
      </c>
      <c r="F245" s="487" t="s">
        <v>105</v>
      </c>
      <c r="G245" s="337">
        <v>0</v>
      </c>
      <c r="H245" s="337">
        <v>0</v>
      </c>
      <c r="I245" s="338" t="e">
        <f t="shared" si="17"/>
        <v>#DIV/0!</v>
      </c>
    </row>
    <row r="246" spans="1:10" ht="15.75" x14ac:dyDescent="0.25">
      <c r="A246" s="116" t="s">
        <v>131</v>
      </c>
      <c r="B246" s="432">
        <v>902</v>
      </c>
      <c r="C246" s="481" t="s">
        <v>103</v>
      </c>
      <c r="D246" s="481" t="s">
        <v>132</v>
      </c>
      <c r="E246" s="481"/>
      <c r="F246" s="481"/>
      <c r="G246" s="338">
        <f>G247+G254</f>
        <v>1623.1723999999999</v>
      </c>
      <c r="H246" s="338">
        <f>H247+H254</f>
        <v>1623.1695300000001</v>
      </c>
      <c r="I246" s="338">
        <f t="shared" si="17"/>
        <v>99.999823185756497</v>
      </c>
    </row>
    <row r="247" spans="1:10" ht="31.5" x14ac:dyDescent="0.25">
      <c r="A247" s="116" t="s">
        <v>362</v>
      </c>
      <c r="B247" s="432">
        <v>902</v>
      </c>
      <c r="C247" s="481" t="s">
        <v>103</v>
      </c>
      <c r="D247" s="481" t="s">
        <v>132</v>
      </c>
      <c r="E247" s="481" t="s">
        <v>321</v>
      </c>
      <c r="F247" s="481"/>
      <c r="G247" s="338">
        <f>G248</f>
        <v>344.17239999999998</v>
      </c>
      <c r="H247" s="338">
        <f>H248</f>
        <v>344.16953000000001</v>
      </c>
      <c r="I247" s="338">
        <f t="shared" si="17"/>
        <v>99.999166115586263</v>
      </c>
    </row>
    <row r="248" spans="1:10" ht="31.5" x14ac:dyDescent="0.25">
      <c r="A248" s="116" t="s">
        <v>338</v>
      </c>
      <c r="B248" s="432">
        <v>902</v>
      </c>
      <c r="C248" s="481" t="s">
        <v>103</v>
      </c>
      <c r="D248" s="481" t="s">
        <v>132</v>
      </c>
      <c r="E248" s="481" t="s">
        <v>326</v>
      </c>
      <c r="F248" s="481"/>
      <c r="G248" s="338">
        <f>G249</f>
        <v>344.17239999999998</v>
      </c>
      <c r="H248" s="338">
        <f>H249</f>
        <v>344.16953000000001</v>
      </c>
      <c r="I248" s="338">
        <f t="shared" si="17"/>
        <v>99.999166115586263</v>
      </c>
    </row>
    <row r="249" spans="1:10" ht="115.9" customHeight="1" x14ac:dyDescent="0.25">
      <c r="A249" s="20" t="s">
        <v>854</v>
      </c>
      <c r="B249" s="482">
        <v>902</v>
      </c>
      <c r="C249" s="268" t="s">
        <v>103</v>
      </c>
      <c r="D249" s="268" t="s">
        <v>132</v>
      </c>
      <c r="E249" s="268" t="s">
        <v>367</v>
      </c>
      <c r="F249" s="268"/>
      <c r="G249" s="337">
        <f>G250+G252</f>
        <v>344.17239999999998</v>
      </c>
      <c r="H249" s="337">
        <f>H250+H252</f>
        <v>344.16953000000001</v>
      </c>
      <c r="I249" s="337">
        <f t="shared" si="17"/>
        <v>99.999166115586263</v>
      </c>
    </row>
    <row r="250" spans="1:10" ht="78.75" x14ac:dyDescent="0.25">
      <c r="A250" s="335" t="s">
        <v>84</v>
      </c>
      <c r="B250" s="482">
        <v>902</v>
      </c>
      <c r="C250" s="268" t="s">
        <v>103</v>
      </c>
      <c r="D250" s="268" t="s">
        <v>132</v>
      </c>
      <c r="E250" s="268" t="s">
        <v>367</v>
      </c>
      <c r="F250" s="268" t="s">
        <v>85</v>
      </c>
      <c r="G250" s="337">
        <f>G251</f>
        <v>312.88399999999996</v>
      </c>
      <c r="H250" s="337">
        <f>H251</f>
        <v>312.88400000000001</v>
      </c>
      <c r="I250" s="337">
        <f t="shared" si="17"/>
        <v>100.00000000000003</v>
      </c>
    </row>
    <row r="251" spans="1:10" ht="31.5" x14ac:dyDescent="0.25">
      <c r="A251" s="335" t="s">
        <v>86</v>
      </c>
      <c r="B251" s="482">
        <v>902</v>
      </c>
      <c r="C251" s="268" t="s">
        <v>103</v>
      </c>
      <c r="D251" s="268" t="s">
        <v>132</v>
      </c>
      <c r="E251" s="268" t="s">
        <v>367</v>
      </c>
      <c r="F251" s="268" t="s">
        <v>87</v>
      </c>
      <c r="G251" s="337">
        <f>344.1724-31.2884</f>
        <v>312.88399999999996</v>
      </c>
      <c r="H251" s="337">
        <v>312.88400000000001</v>
      </c>
      <c r="I251" s="337">
        <f t="shared" si="17"/>
        <v>100.00000000000003</v>
      </c>
    </row>
    <row r="252" spans="1:10" ht="31.5" x14ac:dyDescent="0.25">
      <c r="A252" s="335" t="s">
        <v>88</v>
      </c>
      <c r="B252" s="482">
        <v>902</v>
      </c>
      <c r="C252" s="268" t="s">
        <v>103</v>
      </c>
      <c r="D252" s="268" t="s">
        <v>132</v>
      </c>
      <c r="E252" s="268" t="s">
        <v>367</v>
      </c>
      <c r="F252" s="268" t="s">
        <v>89</v>
      </c>
      <c r="G252" s="337">
        <f>G253</f>
        <v>31.288399999999999</v>
      </c>
      <c r="H252" s="337">
        <f>H253</f>
        <v>31.285530000000001</v>
      </c>
      <c r="I252" s="337">
        <f t="shared" si="17"/>
        <v>99.99082727144885</v>
      </c>
    </row>
    <row r="253" spans="1:10" ht="31.5" x14ac:dyDescent="0.25">
      <c r="A253" s="335" t="s">
        <v>90</v>
      </c>
      <c r="B253" s="482">
        <v>902</v>
      </c>
      <c r="C253" s="268" t="s">
        <v>103</v>
      </c>
      <c r="D253" s="268" t="s">
        <v>132</v>
      </c>
      <c r="E253" s="268" t="s">
        <v>367</v>
      </c>
      <c r="F253" s="268" t="s">
        <v>91</v>
      </c>
      <c r="G253" s="337">
        <v>31.288399999999999</v>
      </c>
      <c r="H253" s="337">
        <v>31.285530000000001</v>
      </c>
      <c r="I253" s="337">
        <f t="shared" si="17"/>
        <v>99.99082727144885</v>
      </c>
    </row>
    <row r="254" spans="1:10" ht="48.6" customHeight="1" x14ac:dyDescent="0.25">
      <c r="A254" s="116" t="s">
        <v>886</v>
      </c>
      <c r="B254" s="432">
        <v>902</v>
      </c>
      <c r="C254" s="481" t="s">
        <v>103</v>
      </c>
      <c r="D254" s="481" t="s">
        <v>132</v>
      </c>
      <c r="E254" s="481" t="s">
        <v>104</v>
      </c>
      <c r="F254" s="481"/>
      <c r="G254" s="338">
        <f t="shared" ref="G254:H257" si="23">G255</f>
        <v>1279</v>
      </c>
      <c r="H254" s="338">
        <f t="shared" si="23"/>
        <v>1279</v>
      </c>
      <c r="I254" s="337">
        <f t="shared" si="17"/>
        <v>100</v>
      </c>
    </row>
    <row r="255" spans="1:10" ht="31.5" x14ac:dyDescent="0.25">
      <c r="A255" s="116" t="s">
        <v>483</v>
      </c>
      <c r="B255" s="432">
        <v>902</v>
      </c>
      <c r="C255" s="481" t="s">
        <v>103</v>
      </c>
      <c r="D255" s="481" t="s">
        <v>132</v>
      </c>
      <c r="E255" s="481" t="s">
        <v>481</v>
      </c>
      <c r="F255" s="481"/>
      <c r="G255" s="338">
        <f t="shared" si="23"/>
        <v>1279</v>
      </c>
      <c r="H255" s="338">
        <f t="shared" si="23"/>
        <v>1279</v>
      </c>
      <c r="I255" s="337">
        <f t="shared" si="17"/>
        <v>100</v>
      </c>
    </row>
    <row r="256" spans="1:10" ht="31.5" x14ac:dyDescent="0.25">
      <c r="A256" s="335" t="s">
        <v>484</v>
      </c>
      <c r="B256" s="482">
        <v>902</v>
      </c>
      <c r="C256" s="268" t="s">
        <v>103</v>
      </c>
      <c r="D256" s="268" t="s">
        <v>132</v>
      </c>
      <c r="E256" s="268" t="s">
        <v>482</v>
      </c>
      <c r="F256" s="268"/>
      <c r="G256" s="337">
        <f t="shared" si="23"/>
        <v>1279</v>
      </c>
      <c r="H256" s="337">
        <f t="shared" si="23"/>
        <v>1279</v>
      </c>
      <c r="I256" s="337">
        <f t="shared" si="17"/>
        <v>100</v>
      </c>
    </row>
    <row r="257" spans="1:10" ht="25.5" customHeight="1" x14ac:dyDescent="0.25">
      <c r="A257" s="335" t="s">
        <v>92</v>
      </c>
      <c r="B257" s="482">
        <v>902</v>
      </c>
      <c r="C257" s="268" t="s">
        <v>103</v>
      </c>
      <c r="D257" s="268" t="s">
        <v>132</v>
      </c>
      <c r="E257" s="268" t="s">
        <v>482</v>
      </c>
      <c r="F257" s="268" t="s">
        <v>98</v>
      </c>
      <c r="G257" s="337">
        <f t="shared" si="23"/>
        <v>1279</v>
      </c>
      <c r="H257" s="337">
        <f t="shared" si="23"/>
        <v>1279</v>
      </c>
      <c r="I257" s="337">
        <f t="shared" si="17"/>
        <v>100</v>
      </c>
    </row>
    <row r="258" spans="1:10" ht="44.25" customHeight="1" x14ac:dyDescent="0.25">
      <c r="A258" s="335" t="s">
        <v>110</v>
      </c>
      <c r="B258" s="482">
        <v>902</v>
      </c>
      <c r="C258" s="268" t="s">
        <v>103</v>
      </c>
      <c r="D258" s="268" t="s">
        <v>132</v>
      </c>
      <c r="E258" s="268" t="s">
        <v>482</v>
      </c>
      <c r="F258" s="268" t="s">
        <v>105</v>
      </c>
      <c r="G258" s="337">
        <f>150+1148.4-19.4</f>
        <v>1279</v>
      </c>
      <c r="H258" s="337">
        <v>1279</v>
      </c>
      <c r="I258" s="337">
        <f t="shared" si="17"/>
        <v>100</v>
      </c>
      <c r="J258" s="341"/>
    </row>
    <row r="259" spans="1:10" ht="15.75" x14ac:dyDescent="0.25">
      <c r="A259" s="130" t="s">
        <v>184</v>
      </c>
      <c r="B259" s="432">
        <v>902</v>
      </c>
      <c r="C259" s="481" t="s">
        <v>129</v>
      </c>
      <c r="D259" s="268"/>
      <c r="E259" s="268"/>
      <c r="F259" s="268"/>
      <c r="G259" s="338">
        <f t="shared" ref="G259:H263" si="24">G260</f>
        <v>1330.5991799999999</v>
      </c>
      <c r="H259" s="338">
        <f t="shared" si="24"/>
        <v>1330.5991799999999</v>
      </c>
      <c r="I259" s="338">
        <f t="shared" si="17"/>
        <v>100</v>
      </c>
    </row>
    <row r="260" spans="1:10" ht="31.5" x14ac:dyDescent="0.25">
      <c r="A260" s="116" t="s">
        <v>224</v>
      </c>
      <c r="B260" s="432">
        <v>902</v>
      </c>
      <c r="C260" s="481" t="s">
        <v>129</v>
      </c>
      <c r="D260" s="481" t="s">
        <v>129</v>
      </c>
      <c r="E260" s="481"/>
      <c r="F260" s="268"/>
      <c r="G260" s="338">
        <f t="shared" si="24"/>
        <v>1330.5991799999999</v>
      </c>
      <c r="H260" s="338">
        <f t="shared" si="24"/>
        <v>1330.5991799999999</v>
      </c>
      <c r="I260" s="338">
        <f t="shared" si="17"/>
        <v>100</v>
      </c>
    </row>
    <row r="261" spans="1:10" ht="31.5" x14ac:dyDescent="0.25">
      <c r="A261" s="116" t="s">
        <v>330</v>
      </c>
      <c r="B261" s="432">
        <v>902</v>
      </c>
      <c r="C261" s="481" t="s">
        <v>129</v>
      </c>
      <c r="D261" s="481" t="s">
        <v>129</v>
      </c>
      <c r="E261" s="491" t="s">
        <v>328</v>
      </c>
      <c r="F261" s="481"/>
      <c r="G261" s="338">
        <f t="shared" si="24"/>
        <v>1330.5991799999999</v>
      </c>
      <c r="H261" s="338">
        <f t="shared" si="24"/>
        <v>1330.5991799999999</v>
      </c>
      <c r="I261" s="338">
        <f t="shared" si="17"/>
        <v>100</v>
      </c>
    </row>
    <row r="262" spans="1:10" ht="31.5" x14ac:dyDescent="0.25">
      <c r="A262" s="335" t="s">
        <v>225</v>
      </c>
      <c r="B262" s="482">
        <v>902</v>
      </c>
      <c r="C262" s="268" t="s">
        <v>129</v>
      </c>
      <c r="D262" s="268" t="s">
        <v>129</v>
      </c>
      <c r="E262" s="268" t="s">
        <v>415</v>
      </c>
      <c r="F262" s="268"/>
      <c r="G262" s="271">
        <f t="shared" si="24"/>
        <v>1330.5991799999999</v>
      </c>
      <c r="H262" s="271">
        <f t="shared" si="24"/>
        <v>1330.5991799999999</v>
      </c>
      <c r="I262" s="337">
        <f t="shared" si="17"/>
        <v>100</v>
      </c>
    </row>
    <row r="263" spans="1:10" ht="19.5" customHeight="1" x14ac:dyDescent="0.25">
      <c r="A263" s="335" t="s">
        <v>92</v>
      </c>
      <c r="B263" s="482">
        <v>902</v>
      </c>
      <c r="C263" s="268" t="s">
        <v>129</v>
      </c>
      <c r="D263" s="268" t="s">
        <v>129</v>
      </c>
      <c r="E263" s="268" t="s">
        <v>415</v>
      </c>
      <c r="F263" s="268" t="s">
        <v>98</v>
      </c>
      <c r="G263" s="271">
        <f t="shared" si="24"/>
        <v>1330.5991799999999</v>
      </c>
      <c r="H263" s="271">
        <f t="shared" si="24"/>
        <v>1330.5991799999999</v>
      </c>
      <c r="I263" s="337">
        <f t="shared" si="17"/>
        <v>100</v>
      </c>
    </row>
    <row r="264" spans="1:10" ht="47.25" x14ac:dyDescent="0.25">
      <c r="A264" s="335" t="s">
        <v>110</v>
      </c>
      <c r="B264" s="482">
        <v>902</v>
      </c>
      <c r="C264" s="268" t="s">
        <v>129</v>
      </c>
      <c r="D264" s="268" t="s">
        <v>129</v>
      </c>
      <c r="E264" s="268" t="s">
        <v>415</v>
      </c>
      <c r="F264" s="268" t="s">
        <v>105</v>
      </c>
      <c r="G264" s="271">
        <f>1000+330.59918</f>
        <v>1330.5991799999999</v>
      </c>
      <c r="H264" s="271">
        <v>1330.5991799999999</v>
      </c>
      <c r="I264" s="337">
        <f t="shared" si="17"/>
        <v>100</v>
      </c>
      <c r="J264" s="341"/>
    </row>
    <row r="265" spans="1:10" ht="16.5" customHeight="1" x14ac:dyDescent="0.25">
      <c r="A265" s="116" t="s">
        <v>133</v>
      </c>
      <c r="B265" s="432">
        <v>902</v>
      </c>
      <c r="C265" s="481" t="s">
        <v>134</v>
      </c>
      <c r="D265" s="481"/>
      <c r="E265" s="481"/>
      <c r="F265" s="481"/>
      <c r="G265" s="338">
        <f>G266+G272</f>
        <v>21763.951559999998</v>
      </c>
      <c r="H265" s="338">
        <f>H266+H272</f>
        <v>21125.097300000001</v>
      </c>
      <c r="I265" s="338">
        <f t="shared" si="17"/>
        <v>97.064621935778675</v>
      </c>
      <c r="J265" s="281"/>
    </row>
    <row r="266" spans="1:10" ht="15.75" x14ac:dyDescent="0.25">
      <c r="A266" s="116" t="s">
        <v>135</v>
      </c>
      <c r="B266" s="432">
        <v>902</v>
      </c>
      <c r="C266" s="481" t="s">
        <v>134</v>
      </c>
      <c r="D266" s="481" t="s">
        <v>81</v>
      </c>
      <c r="E266" s="481"/>
      <c r="F266" s="481"/>
      <c r="G266" s="338">
        <f t="shared" ref="G266:H270" si="25">G267</f>
        <v>13526.847899999999</v>
      </c>
      <c r="H266" s="338">
        <f t="shared" si="25"/>
        <v>13526.847900000001</v>
      </c>
      <c r="I266" s="338">
        <f t="shared" si="17"/>
        <v>100.00000000000003</v>
      </c>
    </row>
    <row r="267" spans="1:10" ht="15.75" x14ac:dyDescent="0.25">
      <c r="A267" s="116" t="s">
        <v>97</v>
      </c>
      <c r="B267" s="432">
        <v>902</v>
      </c>
      <c r="C267" s="481" t="s">
        <v>134</v>
      </c>
      <c r="D267" s="481" t="s">
        <v>81</v>
      </c>
      <c r="E267" s="481" t="s">
        <v>329</v>
      </c>
      <c r="F267" s="481"/>
      <c r="G267" s="338">
        <f t="shared" si="25"/>
        <v>13526.847899999999</v>
      </c>
      <c r="H267" s="338">
        <f t="shared" si="25"/>
        <v>13526.847900000001</v>
      </c>
      <c r="I267" s="338">
        <f t="shared" si="17"/>
        <v>100.00000000000003</v>
      </c>
    </row>
    <row r="268" spans="1:10" ht="31.5" x14ac:dyDescent="0.25">
      <c r="A268" s="116" t="s">
        <v>330</v>
      </c>
      <c r="B268" s="432">
        <v>902</v>
      </c>
      <c r="C268" s="481" t="s">
        <v>134</v>
      </c>
      <c r="D268" s="481" t="s">
        <v>81</v>
      </c>
      <c r="E268" s="481" t="s">
        <v>328</v>
      </c>
      <c r="F268" s="481"/>
      <c r="G268" s="338">
        <f t="shared" si="25"/>
        <v>13526.847899999999</v>
      </c>
      <c r="H268" s="338">
        <f t="shared" si="25"/>
        <v>13526.847900000001</v>
      </c>
      <c r="I268" s="338">
        <f t="shared" ref="I268:I331" si="26">H268/G268*100</f>
        <v>100.00000000000003</v>
      </c>
    </row>
    <row r="269" spans="1:10" ht="15.75" x14ac:dyDescent="0.25">
      <c r="A269" s="335" t="s">
        <v>136</v>
      </c>
      <c r="B269" s="482">
        <v>902</v>
      </c>
      <c r="C269" s="268" t="s">
        <v>134</v>
      </c>
      <c r="D269" s="268" t="s">
        <v>81</v>
      </c>
      <c r="E269" s="268" t="s">
        <v>337</v>
      </c>
      <c r="F269" s="268"/>
      <c r="G269" s="337">
        <f t="shared" si="25"/>
        <v>13526.847899999999</v>
      </c>
      <c r="H269" s="337">
        <f t="shared" si="25"/>
        <v>13526.847900000001</v>
      </c>
      <c r="I269" s="337">
        <f t="shared" si="26"/>
        <v>100.00000000000003</v>
      </c>
    </row>
    <row r="270" spans="1:10" ht="15.75" x14ac:dyDescent="0.25">
      <c r="A270" s="335" t="s">
        <v>137</v>
      </c>
      <c r="B270" s="482">
        <v>902</v>
      </c>
      <c r="C270" s="268" t="s">
        <v>134</v>
      </c>
      <c r="D270" s="268" t="s">
        <v>81</v>
      </c>
      <c r="E270" s="268" t="s">
        <v>337</v>
      </c>
      <c r="F270" s="268" t="s">
        <v>138</v>
      </c>
      <c r="G270" s="337">
        <f t="shared" si="25"/>
        <v>13526.847899999999</v>
      </c>
      <c r="H270" s="337">
        <f t="shared" si="25"/>
        <v>13526.847900000001</v>
      </c>
      <c r="I270" s="337">
        <f t="shared" si="26"/>
        <v>100.00000000000003</v>
      </c>
    </row>
    <row r="271" spans="1:10" ht="15.75" x14ac:dyDescent="0.25">
      <c r="A271" s="335" t="s">
        <v>172</v>
      </c>
      <c r="B271" s="482">
        <v>902</v>
      </c>
      <c r="C271" s="268" t="s">
        <v>134</v>
      </c>
      <c r="D271" s="268" t="s">
        <v>81</v>
      </c>
      <c r="E271" s="268" t="s">
        <v>337</v>
      </c>
      <c r="F271" s="268" t="s">
        <v>173</v>
      </c>
      <c r="G271" s="271">
        <f>11610.6+1881.398+63.18708-28.33718</f>
        <v>13526.847899999999</v>
      </c>
      <c r="H271" s="271">
        <v>13526.847900000001</v>
      </c>
      <c r="I271" s="337">
        <f t="shared" si="26"/>
        <v>100.00000000000003</v>
      </c>
    </row>
    <row r="272" spans="1:10" ht="15.75" x14ac:dyDescent="0.25">
      <c r="A272" s="116" t="s">
        <v>142</v>
      </c>
      <c r="B272" s="432">
        <v>902</v>
      </c>
      <c r="C272" s="481" t="s">
        <v>134</v>
      </c>
      <c r="D272" s="481" t="s">
        <v>83</v>
      </c>
      <c r="E272" s="481"/>
      <c r="F272" s="481"/>
      <c r="G272" s="338">
        <f>G273+G285</f>
        <v>8237.1036599999989</v>
      </c>
      <c r="H272" s="338">
        <f>H273+H285</f>
        <v>7598.2493999999997</v>
      </c>
      <c r="I272" s="338">
        <f t="shared" si="26"/>
        <v>92.244188171355376</v>
      </c>
    </row>
    <row r="273" spans="1:9" ht="31.5" x14ac:dyDescent="0.25">
      <c r="A273" s="116" t="s">
        <v>362</v>
      </c>
      <c r="B273" s="432">
        <v>902</v>
      </c>
      <c r="C273" s="481" t="s">
        <v>134</v>
      </c>
      <c r="D273" s="481" t="s">
        <v>83</v>
      </c>
      <c r="E273" s="481" t="s">
        <v>321</v>
      </c>
      <c r="F273" s="481"/>
      <c r="G273" s="338">
        <f>G274</f>
        <v>7167.5762299999988</v>
      </c>
      <c r="H273" s="338">
        <f>H274</f>
        <v>6556.4103999999998</v>
      </c>
      <c r="I273" s="338">
        <f t="shared" si="26"/>
        <v>91.473186885101342</v>
      </c>
    </row>
    <row r="274" spans="1:9" ht="31.5" x14ac:dyDescent="0.25">
      <c r="A274" s="116" t="s">
        <v>338</v>
      </c>
      <c r="B274" s="432">
        <v>902</v>
      </c>
      <c r="C274" s="481" t="s">
        <v>134</v>
      </c>
      <c r="D274" s="481" t="s">
        <v>83</v>
      </c>
      <c r="E274" s="481" t="s">
        <v>326</v>
      </c>
      <c r="F274" s="481"/>
      <c r="G274" s="338">
        <f>G275+G280</f>
        <v>7167.5762299999988</v>
      </c>
      <c r="H274" s="338">
        <f>H275+H280</f>
        <v>6556.4103999999998</v>
      </c>
      <c r="I274" s="338">
        <f t="shared" si="26"/>
        <v>91.473186885101342</v>
      </c>
    </row>
    <row r="275" spans="1:9" ht="47.25" customHeight="1" x14ac:dyDescent="0.25">
      <c r="A275" s="20" t="s">
        <v>143</v>
      </c>
      <c r="B275" s="482">
        <v>902</v>
      </c>
      <c r="C275" s="268" t="s">
        <v>134</v>
      </c>
      <c r="D275" s="268" t="s">
        <v>83</v>
      </c>
      <c r="E275" s="268" t="s">
        <v>368</v>
      </c>
      <c r="F275" s="268"/>
      <c r="G275" s="337">
        <f>G276+G278</f>
        <v>7124.0557999999992</v>
      </c>
      <c r="H275" s="337">
        <f>H276+H278</f>
        <v>6512.8899700000002</v>
      </c>
      <c r="I275" s="337">
        <f t="shared" si="26"/>
        <v>91.42109709471957</v>
      </c>
    </row>
    <row r="276" spans="1:9" ht="78.75" x14ac:dyDescent="0.25">
      <c r="A276" s="335" t="s">
        <v>84</v>
      </c>
      <c r="B276" s="482">
        <v>902</v>
      </c>
      <c r="C276" s="268" t="s">
        <v>134</v>
      </c>
      <c r="D276" s="268" t="s">
        <v>83</v>
      </c>
      <c r="E276" s="268" t="s">
        <v>368</v>
      </c>
      <c r="F276" s="268" t="s">
        <v>85</v>
      </c>
      <c r="G276" s="337">
        <f>G277</f>
        <v>6557.7689999999993</v>
      </c>
      <c r="H276" s="337">
        <f>H277</f>
        <v>5948.8659699999998</v>
      </c>
      <c r="I276" s="337">
        <f t="shared" si="26"/>
        <v>90.714783793085729</v>
      </c>
    </row>
    <row r="277" spans="1:9" ht="31.5" x14ac:dyDescent="0.25">
      <c r="A277" s="335" t="s">
        <v>86</v>
      </c>
      <c r="B277" s="482">
        <v>902</v>
      </c>
      <c r="C277" s="268" t="s">
        <v>134</v>
      </c>
      <c r="D277" s="268" t="s">
        <v>83</v>
      </c>
      <c r="E277" s="268" t="s">
        <v>368</v>
      </c>
      <c r="F277" s="268" t="s">
        <v>87</v>
      </c>
      <c r="G277" s="271">
        <f>6150.6+83-19.73372-12.29028+17.3794+5.2486+256.17343+77.39157</f>
        <v>6557.7689999999993</v>
      </c>
      <c r="H277" s="271">
        <v>5948.8659699999998</v>
      </c>
      <c r="I277" s="337">
        <f t="shared" si="26"/>
        <v>90.714783793085729</v>
      </c>
    </row>
    <row r="278" spans="1:9" ht="31.5" x14ac:dyDescent="0.25">
      <c r="A278" s="335" t="s">
        <v>88</v>
      </c>
      <c r="B278" s="482">
        <v>902</v>
      </c>
      <c r="C278" s="268" t="s">
        <v>134</v>
      </c>
      <c r="D278" s="268" t="s">
        <v>83</v>
      </c>
      <c r="E278" s="268" t="s">
        <v>368</v>
      </c>
      <c r="F278" s="268" t="s">
        <v>89</v>
      </c>
      <c r="G278" s="337">
        <f>G279</f>
        <v>566.28679999999986</v>
      </c>
      <c r="H278" s="337">
        <f>H279</f>
        <v>564.024</v>
      </c>
      <c r="I278" s="337">
        <f t="shared" si="26"/>
        <v>99.60041448961907</v>
      </c>
    </row>
    <row r="279" spans="1:9" ht="31.5" x14ac:dyDescent="0.25">
      <c r="A279" s="335" t="s">
        <v>90</v>
      </c>
      <c r="B279" s="482">
        <v>902</v>
      </c>
      <c r="C279" s="268" t="s">
        <v>134</v>
      </c>
      <c r="D279" s="268" t="s">
        <v>83</v>
      </c>
      <c r="E279" s="268" t="s">
        <v>368</v>
      </c>
      <c r="F279" s="268" t="s">
        <v>91</v>
      </c>
      <c r="G279" s="271">
        <f>615-575.9+142+350.9+19.73372-0.01327+12.30355+2.2628</f>
        <v>566.28679999999986</v>
      </c>
      <c r="H279" s="271">
        <v>564.024</v>
      </c>
      <c r="I279" s="337">
        <f t="shared" si="26"/>
        <v>99.60041448961907</v>
      </c>
    </row>
    <row r="280" spans="1:9" ht="78.75" x14ac:dyDescent="0.25">
      <c r="A280" s="20" t="s">
        <v>550</v>
      </c>
      <c r="B280" s="482">
        <v>902</v>
      </c>
      <c r="C280" s="268" t="s">
        <v>134</v>
      </c>
      <c r="D280" s="268" t="s">
        <v>83</v>
      </c>
      <c r="E280" s="268" t="s">
        <v>549</v>
      </c>
      <c r="F280" s="268"/>
      <c r="G280" s="337">
        <f>G281+G283</f>
        <v>43.520429999999998</v>
      </c>
      <c r="H280" s="337">
        <f>H281+H283</f>
        <v>43.520429999999998</v>
      </c>
      <c r="I280" s="337">
        <f t="shared" si="26"/>
        <v>100</v>
      </c>
    </row>
    <row r="281" spans="1:9" ht="78.75" x14ac:dyDescent="0.25">
      <c r="A281" s="335" t="s">
        <v>84</v>
      </c>
      <c r="B281" s="482">
        <v>902</v>
      </c>
      <c r="C281" s="268" t="s">
        <v>134</v>
      </c>
      <c r="D281" s="268" t="s">
        <v>83</v>
      </c>
      <c r="E281" s="268" t="s">
        <v>549</v>
      </c>
      <c r="F281" s="268" t="s">
        <v>85</v>
      </c>
      <c r="G281" s="337">
        <f t="shared" ref="G281:H281" si="27">G282</f>
        <v>40.620429999999999</v>
      </c>
      <c r="H281" s="337">
        <f t="shared" si="27"/>
        <v>40.620429999999999</v>
      </c>
      <c r="I281" s="337">
        <f t="shared" si="26"/>
        <v>100</v>
      </c>
    </row>
    <row r="282" spans="1:9" ht="31.5" x14ac:dyDescent="0.25">
      <c r="A282" s="335" t="s">
        <v>86</v>
      </c>
      <c r="B282" s="482">
        <v>902</v>
      </c>
      <c r="C282" s="268" t="s">
        <v>134</v>
      </c>
      <c r="D282" s="268" t="s">
        <v>83</v>
      </c>
      <c r="E282" s="268" t="s">
        <v>549</v>
      </c>
      <c r="F282" s="268" t="s">
        <v>87</v>
      </c>
      <c r="G282" s="337">
        <f>28.7+2.72194+9.19849</f>
        <v>40.620429999999999</v>
      </c>
      <c r="H282" s="337">
        <v>40.620429999999999</v>
      </c>
      <c r="I282" s="337">
        <f t="shared" si="26"/>
        <v>100</v>
      </c>
    </row>
    <row r="283" spans="1:9" ht="31.5" x14ac:dyDescent="0.25">
      <c r="A283" s="335" t="s">
        <v>88</v>
      </c>
      <c r="B283" s="482">
        <v>902</v>
      </c>
      <c r="C283" s="268" t="s">
        <v>134</v>
      </c>
      <c r="D283" s="268" t="s">
        <v>83</v>
      </c>
      <c r="E283" s="268" t="s">
        <v>549</v>
      </c>
      <c r="F283" s="268" t="s">
        <v>89</v>
      </c>
      <c r="G283" s="337">
        <f>G284</f>
        <v>2.9</v>
      </c>
      <c r="H283" s="337">
        <f>H284</f>
        <v>2.9</v>
      </c>
      <c r="I283" s="337">
        <f t="shared" si="26"/>
        <v>100</v>
      </c>
    </row>
    <row r="284" spans="1:9" ht="31.5" x14ac:dyDescent="0.25">
      <c r="A284" s="335" t="s">
        <v>90</v>
      </c>
      <c r="B284" s="482">
        <v>902</v>
      </c>
      <c r="C284" s="268" t="s">
        <v>134</v>
      </c>
      <c r="D284" s="268" t="s">
        <v>83</v>
      </c>
      <c r="E284" s="268" t="s">
        <v>549</v>
      </c>
      <c r="F284" s="268" t="s">
        <v>91</v>
      </c>
      <c r="G284" s="337">
        <v>2.9</v>
      </c>
      <c r="H284" s="337">
        <v>2.9</v>
      </c>
      <c r="I284" s="337">
        <f t="shared" si="26"/>
        <v>100</v>
      </c>
    </row>
    <row r="285" spans="1:9" ht="47.25" x14ac:dyDescent="0.25">
      <c r="A285" s="130" t="s">
        <v>853</v>
      </c>
      <c r="B285" s="432">
        <v>902</v>
      </c>
      <c r="C285" s="481" t="s">
        <v>134</v>
      </c>
      <c r="D285" s="481" t="s">
        <v>83</v>
      </c>
      <c r="E285" s="481" t="s">
        <v>259</v>
      </c>
      <c r="F285" s="268"/>
      <c r="G285" s="273">
        <f>G286+G293</f>
        <v>1069.5274299999999</v>
      </c>
      <c r="H285" s="273">
        <f>H286+H293</f>
        <v>1041.8389999999999</v>
      </c>
      <c r="I285" s="338">
        <f t="shared" si="26"/>
        <v>97.41115288646688</v>
      </c>
    </row>
    <row r="286" spans="1:9" ht="31.5" hidden="1" x14ac:dyDescent="0.25">
      <c r="A286" s="180" t="s">
        <v>702</v>
      </c>
      <c r="B286" s="432">
        <v>902</v>
      </c>
      <c r="C286" s="481" t="s">
        <v>134</v>
      </c>
      <c r="D286" s="481" t="s">
        <v>83</v>
      </c>
      <c r="E286" s="481" t="s">
        <v>703</v>
      </c>
      <c r="F286" s="486"/>
      <c r="G286" s="273">
        <f>G290</f>
        <v>0</v>
      </c>
      <c r="H286" s="273">
        <f>H290</f>
        <v>0</v>
      </c>
      <c r="I286" s="338" t="e">
        <f t="shared" si="26"/>
        <v>#DIV/0!</v>
      </c>
    </row>
    <row r="287" spans="1:9" ht="15.75" hidden="1" x14ac:dyDescent="0.25">
      <c r="A287" s="335" t="s">
        <v>126</v>
      </c>
      <c r="B287" s="482">
        <v>902</v>
      </c>
      <c r="C287" s="268" t="s">
        <v>134</v>
      </c>
      <c r="D287" s="268" t="s">
        <v>83</v>
      </c>
      <c r="E287" s="268" t="s">
        <v>704</v>
      </c>
      <c r="F287" s="487"/>
      <c r="G287" s="271">
        <f>G288</f>
        <v>0</v>
      </c>
      <c r="H287" s="271">
        <f>H288</f>
        <v>0</v>
      </c>
      <c r="I287" s="338" t="e">
        <f t="shared" si="26"/>
        <v>#DIV/0!</v>
      </c>
    </row>
    <row r="288" spans="1:9" ht="31.5" hidden="1" x14ac:dyDescent="0.25">
      <c r="A288" s="335" t="s">
        <v>88</v>
      </c>
      <c r="B288" s="482">
        <v>902</v>
      </c>
      <c r="C288" s="268" t="s">
        <v>134</v>
      </c>
      <c r="D288" s="268" t="s">
        <v>83</v>
      </c>
      <c r="E288" s="268" t="s">
        <v>704</v>
      </c>
      <c r="F288" s="487" t="s">
        <v>89</v>
      </c>
      <c r="G288" s="271">
        <f>G289</f>
        <v>0</v>
      </c>
      <c r="H288" s="271">
        <f>H289</f>
        <v>0</v>
      </c>
      <c r="I288" s="338" t="e">
        <f t="shared" si="26"/>
        <v>#DIV/0!</v>
      </c>
    </row>
    <row r="289" spans="1:10" ht="31.5" hidden="1" x14ac:dyDescent="0.25">
      <c r="A289" s="335" t="s">
        <v>90</v>
      </c>
      <c r="B289" s="482">
        <v>902</v>
      </c>
      <c r="C289" s="268" t="s">
        <v>134</v>
      </c>
      <c r="D289" s="268" t="s">
        <v>83</v>
      </c>
      <c r="E289" s="268" t="s">
        <v>704</v>
      </c>
      <c r="F289" s="487" t="s">
        <v>91</v>
      </c>
      <c r="G289" s="271">
        <v>0</v>
      </c>
      <c r="H289" s="271">
        <v>0</v>
      </c>
      <c r="I289" s="338" t="e">
        <f t="shared" si="26"/>
        <v>#DIV/0!</v>
      </c>
    </row>
    <row r="290" spans="1:10" ht="47.25" hidden="1" x14ac:dyDescent="0.25">
      <c r="A290" s="335" t="s">
        <v>829</v>
      </c>
      <c r="B290" s="482">
        <v>902</v>
      </c>
      <c r="C290" s="268" t="s">
        <v>134</v>
      </c>
      <c r="D290" s="268" t="s">
        <v>83</v>
      </c>
      <c r="E290" s="268" t="s">
        <v>713</v>
      </c>
      <c r="F290" s="487"/>
      <c r="G290" s="271">
        <f>G291</f>
        <v>0</v>
      </c>
      <c r="H290" s="271">
        <f>H291</f>
        <v>0</v>
      </c>
      <c r="I290" s="338" t="e">
        <f t="shared" si="26"/>
        <v>#DIV/0!</v>
      </c>
    </row>
    <row r="291" spans="1:10" ht="15.75" hidden="1" x14ac:dyDescent="0.25">
      <c r="A291" s="335" t="s">
        <v>137</v>
      </c>
      <c r="B291" s="482">
        <v>902</v>
      </c>
      <c r="C291" s="268" t="s">
        <v>134</v>
      </c>
      <c r="D291" s="268" t="s">
        <v>83</v>
      </c>
      <c r="E291" s="268" t="s">
        <v>713</v>
      </c>
      <c r="F291" s="487" t="s">
        <v>138</v>
      </c>
      <c r="G291" s="271">
        <f>G292</f>
        <v>0</v>
      </c>
      <c r="H291" s="271">
        <f>H292</f>
        <v>0</v>
      </c>
      <c r="I291" s="338" t="e">
        <f t="shared" si="26"/>
        <v>#DIV/0!</v>
      </c>
    </row>
    <row r="292" spans="1:10" ht="31.5" hidden="1" x14ac:dyDescent="0.25">
      <c r="A292" s="335" t="s">
        <v>139</v>
      </c>
      <c r="B292" s="482">
        <v>902</v>
      </c>
      <c r="C292" s="268" t="s">
        <v>134</v>
      </c>
      <c r="D292" s="268" t="s">
        <v>83</v>
      </c>
      <c r="E292" s="268" t="s">
        <v>713</v>
      </c>
      <c r="F292" s="487" t="s">
        <v>140</v>
      </c>
      <c r="G292" s="271">
        <f>94.7-94.7</f>
        <v>0</v>
      </c>
      <c r="H292" s="271">
        <f>94.7-94.7</f>
        <v>0</v>
      </c>
      <c r="I292" s="338" t="e">
        <f t="shared" si="26"/>
        <v>#DIV/0!</v>
      </c>
      <c r="J292" s="341"/>
    </row>
    <row r="293" spans="1:10" ht="31.5" x14ac:dyDescent="0.25">
      <c r="A293" s="180" t="s">
        <v>702</v>
      </c>
      <c r="B293" s="432">
        <v>902</v>
      </c>
      <c r="C293" s="481" t="s">
        <v>134</v>
      </c>
      <c r="D293" s="481" t="s">
        <v>83</v>
      </c>
      <c r="E293" s="481" t="s">
        <v>1059</v>
      </c>
      <c r="F293" s="486"/>
      <c r="G293" s="273">
        <f t="shared" ref="G293:H295" si="28">G294</f>
        <v>1069.5274299999999</v>
      </c>
      <c r="H293" s="273">
        <f t="shared" si="28"/>
        <v>1041.8389999999999</v>
      </c>
      <c r="I293" s="338">
        <f t="shared" si="26"/>
        <v>97.41115288646688</v>
      </c>
    </row>
    <row r="294" spans="1:10" ht="47.25" x14ac:dyDescent="0.25">
      <c r="A294" s="335" t="s">
        <v>1068</v>
      </c>
      <c r="B294" s="482">
        <v>902</v>
      </c>
      <c r="C294" s="268" t="s">
        <v>134</v>
      </c>
      <c r="D294" s="268" t="s">
        <v>83</v>
      </c>
      <c r="E294" s="268" t="s">
        <v>1059</v>
      </c>
      <c r="F294" s="487"/>
      <c r="G294" s="271">
        <f t="shared" si="28"/>
        <v>1069.5274299999999</v>
      </c>
      <c r="H294" s="271">
        <f t="shared" si="28"/>
        <v>1041.8389999999999</v>
      </c>
      <c r="I294" s="337">
        <f t="shared" si="26"/>
        <v>97.41115288646688</v>
      </c>
    </row>
    <row r="295" spans="1:10" ht="15.75" x14ac:dyDescent="0.25">
      <c r="A295" s="335" t="s">
        <v>137</v>
      </c>
      <c r="B295" s="482">
        <v>902</v>
      </c>
      <c r="C295" s="268" t="s">
        <v>134</v>
      </c>
      <c r="D295" s="268" t="s">
        <v>83</v>
      </c>
      <c r="E295" s="268" t="s">
        <v>1059</v>
      </c>
      <c r="F295" s="487" t="s">
        <v>138</v>
      </c>
      <c r="G295" s="271">
        <f t="shared" si="28"/>
        <v>1069.5274299999999</v>
      </c>
      <c r="H295" s="271">
        <f t="shared" si="28"/>
        <v>1041.8389999999999</v>
      </c>
      <c r="I295" s="337">
        <f t="shared" si="26"/>
        <v>97.41115288646688</v>
      </c>
    </row>
    <row r="296" spans="1:10" ht="31.5" x14ac:dyDescent="0.25">
      <c r="A296" s="335" t="s">
        <v>139</v>
      </c>
      <c r="B296" s="482">
        <v>902</v>
      </c>
      <c r="C296" s="268" t="s">
        <v>134</v>
      </c>
      <c r="D296" s="268" t="s">
        <v>83</v>
      </c>
      <c r="E296" s="268" t="s">
        <v>1059</v>
      </c>
      <c r="F296" s="487" t="s">
        <v>140</v>
      </c>
      <c r="G296" s="271">
        <f>31.805+943.8+94.7+8-8.77757</f>
        <v>1069.5274299999999</v>
      </c>
      <c r="H296" s="271">
        <v>1041.8389999999999</v>
      </c>
      <c r="I296" s="337">
        <f t="shared" si="26"/>
        <v>97.41115288646688</v>
      </c>
      <c r="J296" s="341"/>
    </row>
    <row r="297" spans="1:10" ht="48.75" customHeight="1" x14ac:dyDescent="0.25">
      <c r="A297" s="115" t="s">
        <v>876</v>
      </c>
      <c r="B297" s="432">
        <v>903</v>
      </c>
      <c r="C297" s="268"/>
      <c r="D297" s="268"/>
      <c r="E297" s="268"/>
      <c r="F297" s="268"/>
      <c r="G297" s="338">
        <f>G361+G431+G589+G298+G341+G614</f>
        <v>117907.82516000002</v>
      </c>
      <c r="H297" s="338">
        <f>H361+H431+H589+H298+H341+H614</f>
        <v>117782.73869</v>
      </c>
      <c r="I297" s="338">
        <f t="shared" si="26"/>
        <v>99.893911646805222</v>
      </c>
      <c r="J297" s="281"/>
    </row>
    <row r="298" spans="1:10" ht="15.75" x14ac:dyDescent="0.25">
      <c r="A298" s="116" t="s">
        <v>80</v>
      </c>
      <c r="B298" s="432">
        <v>903</v>
      </c>
      <c r="C298" s="481" t="s">
        <v>81</v>
      </c>
      <c r="D298" s="268"/>
      <c r="E298" s="268"/>
      <c r="F298" s="268"/>
      <c r="G298" s="338">
        <f>G299</f>
        <v>622.14203999999995</v>
      </c>
      <c r="H298" s="338">
        <f>H299</f>
        <v>622.14204000000007</v>
      </c>
      <c r="I298" s="338">
        <f t="shared" si="26"/>
        <v>100.00000000000003</v>
      </c>
    </row>
    <row r="299" spans="1:10" ht="15.75" x14ac:dyDescent="0.25">
      <c r="A299" s="116" t="s">
        <v>95</v>
      </c>
      <c r="B299" s="432">
        <v>903</v>
      </c>
      <c r="C299" s="481" t="s">
        <v>81</v>
      </c>
      <c r="D299" s="481" t="s">
        <v>96</v>
      </c>
      <c r="E299" s="268"/>
      <c r="F299" s="268"/>
      <c r="G299" s="338">
        <f>G300+G314+G331+G336</f>
        <v>622.14203999999995</v>
      </c>
      <c r="H299" s="338">
        <f>H300+H314+H331+H336</f>
        <v>622.14204000000007</v>
      </c>
      <c r="I299" s="338">
        <f t="shared" si="26"/>
        <v>100.00000000000003</v>
      </c>
    </row>
    <row r="300" spans="1:10" ht="47.25" x14ac:dyDescent="0.25">
      <c r="A300" s="116" t="s">
        <v>882</v>
      </c>
      <c r="B300" s="432">
        <v>903</v>
      </c>
      <c r="C300" s="488" t="s">
        <v>81</v>
      </c>
      <c r="D300" s="488" t="s">
        <v>96</v>
      </c>
      <c r="E300" s="398" t="s">
        <v>169</v>
      </c>
      <c r="F300" s="488"/>
      <c r="G300" s="338">
        <f>G301</f>
        <v>597.68360999999993</v>
      </c>
      <c r="H300" s="338">
        <f>H301</f>
        <v>597.68361000000004</v>
      </c>
      <c r="I300" s="338">
        <f t="shared" si="26"/>
        <v>100.00000000000003</v>
      </c>
    </row>
    <row r="301" spans="1:10" ht="73.5" customHeight="1" x14ac:dyDescent="0.25">
      <c r="A301" s="130" t="s">
        <v>883</v>
      </c>
      <c r="B301" s="432">
        <v>903</v>
      </c>
      <c r="C301" s="484" t="s">
        <v>81</v>
      </c>
      <c r="D301" s="484" t="s">
        <v>96</v>
      </c>
      <c r="E301" s="484" t="s">
        <v>177</v>
      </c>
      <c r="F301" s="484"/>
      <c r="G301" s="338">
        <f>G302</f>
        <v>597.68360999999993</v>
      </c>
      <c r="H301" s="338">
        <f>H302</f>
        <v>597.68361000000004</v>
      </c>
      <c r="I301" s="338">
        <f t="shared" si="26"/>
        <v>100.00000000000003</v>
      </c>
    </row>
    <row r="302" spans="1:10" ht="47.25" x14ac:dyDescent="0.25">
      <c r="A302" s="89" t="s">
        <v>468</v>
      </c>
      <c r="B302" s="432">
        <v>903</v>
      </c>
      <c r="C302" s="484" t="s">
        <v>81</v>
      </c>
      <c r="D302" s="484" t="s">
        <v>96</v>
      </c>
      <c r="E302" s="484" t="s">
        <v>357</v>
      </c>
      <c r="F302" s="484"/>
      <c r="G302" s="338">
        <f>G303+G306+G311</f>
        <v>597.68360999999993</v>
      </c>
      <c r="H302" s="338">
        <f>H303+H306+H311</f>
        <v>597.68361000000004</v>
      </c>
      <c r="I302" s="338">
        <f t="shared" si="26"/>
        <v>100.00000000000003</v>
      </c>
    </row>
    <row r="303" spans="1:10" ht="31.5" x14ac:dyDescent="0.25">
      <c r="A303" s="26" t="s">
        <v>505</v>
      </c>
      <c r="B303" s="482">
        <v>903</v>
      </c>
      <c r="C303" s="485" t="s">
        <v>81</v>
      </c>
      <c r="D303" s="485" t="s">
        <v>96</v>
      </c>
      <c r="E303" s="485" t="s">
        <v>555</v>
      </c>
      <c r="F303" s="485"/>
      <c r="G303" s="337">
        <f>G304</f>
        <v>508.08360999999991</v>
      </c>
      <c r="H303" s="337">
        <f>H304</f>
        <v>508.08361000000002</v>
      </c>
      <c r="I303" s="337">
        <f t="shared" si="26"/>
        <v>100.00000000000003</v>
      </c>
    </row>
    <row r="304" spans="1:10" ht="31.5" x14ac:dyDescent="0.25">
      <c r="A304" s="19" t="s">
        <v>88</v>
      </c>
      <c r="B304" s="482">
        <v>903</v>
      </c>
      <c r="C304" s="485" t="s">
        <v>81</v>
      </c>
      <c r="D304" s="485" t="s">
        <v>96</v>
      </c>
      <c r="E304" s="485" t="s">
        <v>555</v>
      </c>
      <c r="F304" s="485" t="s">
        <v>89</v>
      </c>
      <c r="G304" s="337">
        <f>G305</f>
        <v>508.08360999999991</v>
      </c>
      <c r="H304" s="337">
        <f>H305</f>
        <v>508.08361000000002</v>
      </c>
      <c r="I304" s="337">
        <f t="shared" si="26"/>
        <v>100.00000000000003</v>
      </c>
    </row>
    <row r="305" spans="1:10" ht="31.5" x14ac:dyDescent="0.25">
      <c r="A305" s="19" t="s">
        <v>90</v>
      </c>
      <c r="B305" s="482">
        <v>903</v>
      </c>
      <c r="C305" s="485" t="s">
        <v>81</v>
      </c>
      <c r="D305" s="485" t="s">
        <v>96</v>
      </c>
      <c r="E305" s="485" t="s">
        <v>555</v>
      </c>
      <c r="F305" s="485" t="s">
        <v>91</v>
      </c>
      <c r="G305" s="337">
        <f>597.3-153.96667-10.8-25.7+8.7-50+4.4+55-9.4+9.55028+30+30+3+20</f>
        <v>508.08360999999991</v>
      </c>
      <c r="H305" s="337">
        <v>508.08361000000002</v>
      </c>
      <c r="I305" s="337">
        <f t="shared" si="26"/>
        <v>100.00000000000003</v>
      </c>
      <c r="J305" s="341"/>
    </row>
    <row r="306" spans="1:10" ht="31.5" x14ac:dyDescent="0.25">
      <c r="A306" s="26" t="s">
        <v>700</v>
      </c>
      <c r="B306" s="482">
        <v>903</v>
      </c>
      <c r="C306" s="485" t="s">
        <v>81</v>
      </c>
      <c r="D306" s="485" t="s">
        <v>96</v>
      </c>
      <c r="E306" s="485" t="s">
        <v>710</v>
      </c>
      <c r="F306" s="485"/>
      <c r="G306" s="337">
        <f>G307+G309</f>
        <v>89.6</v>
      </c>
      <c r="H306" s="337">
        <f>H307+H309</f>
        <v>89.6</v>
      </c>
      <c r="I306" s="337">
        <f t="shared" si="26"/>
        <v>100</v>
      </c>
    </row>
    <row r="307" spans="1:10" ht="31.5" hidden="1" x14ac:dyDescent="0.25">
      <c r="A307" s="19" t="s">
        <v>88</v>
      </c>
      <c r="B307" s="482">
        <v>903</v>
      </c>
      <c r="C307" s="485" t="s">
        <v>81</v>
      </c>
      <c r="D307" s="485" t="s">
        <v>96</v>
      </c>
      <c r="E307" s="485" t="s">
        <v>710</v>
      </c>
      <c r="F307" s="485" t="s">
        <v>89</v>
      </c>
      <c r="G307" s="337">
        <f>G308</f>
        <v>0</v>
      </c>
      <c r="H307" s="337">
        <f>H308</f>
        <v>0</v>
      </c>
      <c r="I307" s="337" t="e">
        <f t="shared" si="26"/>
        <v>#DIV/0!</v>
      </c>
    </row>
    <row r="308" spans="1:10" ht="31.5" hidden="1" x14ac:dyDescent="0.25">
      <c r="A308" s="19" t="s">
        <v>90</v>
      </c>
      <c r="B308" s="482">
        <v>903</v>
      </c>
      <c r="C308" s="485" t="s">
        <v>81</v>
      </c>
      <c r="D308" s="485" t="s">
        <v>96</v>
      </c>
      <c r="E308" s="485" t="s">
        <v>710</v>
      </c>
      <c r="F308" s="485" t="s">
        <v>91</v>
      </c>
      <c r="G308" s="337">
        <f>10.8+78.8-10.8-78.8</f>
        <v>0</v>
      </c>
      <c r="H308" s="337">
        <f>10.8+78.8-10.8-78.8</f>
        <v>0</v>
      </c>
      <c r="I308" s="337" t="e">
        <f t="shared" si="26"/>
        <v>#DIV/0!</v>
      </c>
    </row>
    <row r="309" spans="1:10" ht="33" customHeight="1" x14ac:dyDescent="0.25">
      <c r="A309" s="19" t="s">
        <v>149</v>
      </c>
      <c r="B309" s="482">
        <v>903</v>
      </c>
      <c r="C309" s="485" t="s">
        <v>81</v>
      </c>
      <c r="D309" s="485" t="s">
        <v>96</v>
      </c>
      <c r="E309" s="485" t="s">
        <v>710</v>
      </c>
      <c r="F309" s="485" t="s">
        <v>150</v>
      </c>
      <c r="G309" s="337">
        <f>G310</f>
        <v>89.6</v>
      </c>
      <c r="H309" s="337">
        <f>H310</f>
        <v>89.6</v>
      </c>
      <c r="I309" s="337">
        <f t="shared" si="26"/>
        <v>100</v>
      </c>
    </row>
    <row r="310" spans="1:10" ht="29.25" customHeight="1" x14ac:dyDescent="0.25">
      <c r="A310" s="19" t="s">
        <v>499</v>
      </c>
      <c r="B310" s="482">
        <v>903</v>
      </c>
      <c r="C310" s="485" t="s">
        <v>81</v>
      </c>
      <c r="D310" s="485" t="s">
        <v>96</v>
      </c>
      <c r="E310" s="485" t="s">
        <v>710</v>
      </c>
      <c r="F310" s="485" t="s">
        <v>180</v>
      </c>
      <c r="G310" s="337">
        <f>10.8+78.8</f>
        <v>89.6</v>
      </c>
      <c r="H310" s="337">
        <v>89.6</v>
      </c>
      <c r="I310" s="337">
        <f t="shared" si="26"/>
        <v>100</v>
      </c>
    </row>
    <row r="311" spans="1:10" ht="30.6" hidden="1" customHeight="1" x14ac:dyDescent="0.25">
      <c r="A311" s="19" t="s">
        <v>757</v>
      </c>
      <c r="B311" s="482">
        <v>903</v>
      </c>
      <c r="C311" s="485" t="s">
        <v>81</v>
      </c>
      <c r="D311" s="485" t="s">
        <v>96</v>
      </c>
      <c r="E311" s="489" t="s">
        <v>758</v>
      </c>
      <c r="F311" s="485"/>
      <c r="G311" s="337">
        <f>G313</f>
        <v>0</v>
      </c>
      <c r="H311" s="337">
        <f>H313</f>
        <v>0</v>
      </c>
      <c r="I311" s="337" t="e">
        <f t="shared" si="26"/>
        <v>#DIV/0!</v>
      </c>
      <c r="J311" s="284"/>
    </row>
    <row r="312" spans="1:10" ht="31.5" hidden="1" x14ac:dyDescent="0.25">
      <c r="A312" s="19" t="s">
        <v>88</v>
      </c>
      <c r="B312" s="482">
        <v>903</v>
      </c>
      <c r="C312" s="485" t="s">
        <v>81</v>
      </c>
      <c r="D312" s="485" t="s">
        <v>96</v>
      </c>
      <c r="E312" s="489" t="s">
        <v>758</v>
      </c>
      <c r="F312" s="485" t="s">
        <v>89</v>
      </c>
      <c r="G312" s="337">
        <f>G313</f>
        <v>0</v>
      </c>
      <c r="H312" s="337">
        <f>H313</f>
        <v>0</v>
      </c>
      <c r="I312" s="337" t="e">
        <f t="shared" si="26"/>
        <v>#DIV/0!</v>
      </c>
      <c r="J312" s="284"/>
    </row>
    <row r="313" spans="1:10" ht="31.5" hidden="1" x14ac:dyDescent="0.25">
      <c r="A313" s="417" t="s">
        <v>90</v>
      </c>
      <c r="B313" s="575">
        <v>903</v>
      </c>
      <c r="C313" s="485" t="s">
        <v>81</v>
      </c>
      <c r="D313" s="485" t="s">
        <v>96</v>
      </c>
      <c r="E313" s="489" t="s">
        <v>758</v>
      </c>
      <c r="F313" s="485" t="s">
        <v>91</v>
      </c>
      <c r="G313" s="337">
        <v>0</v>
      </c>
      <c r="H313" s="337">
        <v>0</v>
      </c>
      <c r="I313" s="337" t="e">
        <f t="shared" si="26"/>
        <v>#DIV/0!</v>
      </c>
      <c r="J313" s="284"/>
    </row>
    <row r="314" spans="1:10" ht="31.5" x14ac:dyDescent="0.25">
      <c r="A314" s="116" t="s">
        <v>896</v>
      </c>
      <c r="B314" s="432">
        <v>903</v>
      </c>
      <c r="C314" s="481" t="s">
        <v>81</v>
      </c>
      <c r="D314" s="481" t="s">
        <v>96</v>
      </c>
      <c r="E314" s="481" t="s">
        <v>165</v>
      </c>
      <c r="F314" s="481"/>
      <c r="G314" s="338">
        <f>G315</f>
        <v>17.600000000000001</v>
      </c>
      <c r="H314" s="338">
        <f>H315</f>
        <v>17.600000000000001</v>
      </c>
      <c r="I314" s="338">
        <f t="shared" si="26"/>
        <v>100</v>
      </c>
      <c r="J314" s="284"/>
    </row>
    <row r="315" spans="1:10" ht="31.5" x14ac:dyDescent="0.25">
      <c r="A315" s="116" t="s">
        <v>472</v>
      </c>
      <c r="B315" s="432">
        <v>903</v>
      </c>
      <c r="C315" s="481" t="s">
        <v>81</v>
      </c>
      <c r="D315" s="481" t="s">
        <v>96</v>
      </c>
      <c r="E315" s="481" t="s">
        <v>473</v>
      </c>
      <c r="F315" s="481"/>
      <c r="G315" s="338">
        <f>G316+G319+G322+G325+G328</f>
        <v>17.600000000000001</v>
      </c>
      <c r="H315" s="338">
        <f>H316+H319+H322+H325+H328</f>
        <v>17.600000000000001</v>
      </c>
      <c r="I315" s="338">
        <f t="shared" si="26"/>
        <v>100</v>
      </c>
    </row>
    <row r="316" spans="1:10" ht="31.5" hidden="1" x14ac:dyDescent="0.25">
      <c r="A316" s="66" t="s">
        <v>166</v>
      </c>
      <c r="B316" s="482">
        <v>903</v>
      </c>
      <c r="C316" s="268" t="s">
        <v>81</v>
      </c>
      <c r="D316" s="268" t="s">
        <v>96</v>
      </c>
      <c r="E316" s="268" t="s">
        <v>474</v>
      </c>
      <c r="F316" s="268"/>
      <c r="G316" s="337">
        <f>G317</f>
        <v>0</v>
      </c>
      <c r="H316" s="337">
        <f>H317</f>
        <v>0</v>
      </c>
      <c r="I316" s="337" t="e">
        <f t="shared" si="26"/>
        <v>#DIV/0!</v>
      </c>
    </row>
    <row r="317" spans="1:10" ht="31.5" hidden="1" x14ac:dyDescent="0.25">
      <c r="A317" s="335" t="s">
        <v>88</v>
      </c>
      <c r="B317" s="482">
        <v>903</v>
      </c>
      <c r="C317" s="268" t="s">
        <v>81</v>
      </c>
      <c r="D317" s="268" t="s">
        <v>96</v>
      </c>
      <c r="E317" s="268" t="s">
        <v>474</v>
      </c>
      <c r="F317" s="268" t="s">
        <v>89</v>
      </c>
      <c r="G317" s="337">
        <f>G318</f>
        <v>0</v>
      </c>
      <c r="H317" s="337">
        <f>H318</f>
        <v>0</v>
      </c>
      <c r="I317" s="337" t="e">
        <f t="shared" si="26"/>
        <v>#DIV/0!</v>
      </c>
    </row>
    <row r="318" spans="1:10" ht="31.5" hidden="1" x14ac:dyDescent="0.25">
      <c r="A318" s="335" t="s">
        <v>90</v>
      </c>
      <c r="B318" s="482">
        <v>903</v>
      </c>
      <c r="C318" s="268" t="s">
        <v>81</v>
      </c>
      <c r="D318" s="268" t="s">
        <v>96</v>
      </c>
      <c r="E318" s="268" t="s">
        <v>474</v>
      </c>
      <c r="F318" s="268" t="s">
        <v>91</v>
      </c>
      <c r="G318" s="337">
        <f>50-50</f>
        <v>0</v>
      </c>
      <c r="H318" s="337">
        <f>50-50</f>
        <v>0</v>
      </c>
      <c r="I318" s="337" t="e">
        <f t="shared" si="26"/>
        <v>#DIV/0!</v>
      </c>
      <c r="J318" s="341"/>
    </row>
    <row r="319" spans="1:10" ht="15.75" x14ac:dyDescent="0.25">
      <c r="A319" s="335" t="s">
        <v>167</v>
      </c>
      <c r="B319" s="482">
        <v>903</v>
      </c>
      <c r="C319" s="268" t="s">
        <v>81</v>
      </c>
      <c r="D319" s="268" t="s">
        <v>96</v>
      </c>
      <c r="E319" s="268" t="s">
        <v>475</v>
      </c>
      <c r="F319" s="268"/>
      <c r="G319" s="337">
        <f>G320</f>
        <v>17.600000000000001</v>
      </c>
      <c r="H319" s="337">
        <f>H320</f>
        <v>17.600000000000001</v>
      </c>
      <c r="I319" s="337">
        <f t="shared" si="26"/>
        <v>100</v>
      </c>
    </row>
    <row r="320" spans="1:10" ht="31.5" x14ac:dyDescent="0.25">
      <c r="A320" s="335" t="s">
        <v>88</v>
      </c>
      <c r="B320" s="482">
        <v>903</v>
      </c>
      <c r="C320" s="268" t="s">
        <v>81</v>
      </c>
      <c r="D320" s="268" t="s">
        <v>96</v>
      </c>
      <c r="E320" s="268" t="s">
        <v>475</v>
      </c>
      <c r="F320" s="268" t="s">
        <v>89</v>
      </c>
      <c r="G320" s="337">
        <f>G321</f>
        <v>17.600000000000001</v>
      </c>
      <c r="H320" s="337">
        <f>H321</f>
        <v>17.600000000000001</v>
      </c>
      <c r="I320" s="337">
        <f t="shared" si="26"/>
        <v>100</v>
      </c>
    </row>
    <row r="321" spans="1:10" ht="31.5" x14ac:dyDescent="0.25">
      <c r="A321" s="335" t="s">
        <v>90</v>
      </c>
      <c r="B321" s="482">
        <v>903</v>
      </c>
      <c r="C321" s="268" t="s">
        <v>81</v>
      </c>
      <c r="D321" s="268" t="s">
        <v>96</v>
      </c>
      <c r="E321" s="268" t="s">
        <v>475</v>
      </c>
      <c r="F321" s="268" t="s">
        <v>91</v>
      </c>
      <c r="G321" s="337">
        <f>20-2.4</f>
        <v>17.600000000000001</v>
      </c>
      <c r="H321" s="337">
        <v>17.600000000000001</v>
      </c>
      <c r="I321" s="337">
        <f t="shared" si="26"/>
        <v>100</v>
      </c>
      <c r="J321" s="341"/>
    </row>
    <row r="322" spans="1:10" ht="36.75" hidden="1" customHeight="1" x14ac:dyDescent="0.25">
      <c r="A322" s="20" t="s">
        <v>268</v>
      </c>
      <c r="B322" s="482">
        <v>903</v>
      </c>
      <c r="C322" s="268" t="s">
        <v>81</v>
      </c>
      <c r="D322" s="268" t="s">
        <v>96</v>
      </c>
      <c r="E322" s="268" t="s">
        <v>476</v>
      </c>
      <c r="F322" s="268"/>
      <c r="G322" s="337">
        <f>G323</f>
        <v>0</v>
      </c>
      <c r="H322" s="337">
        <f>H323</f>
        <v>0</v>
      </c>
      <c r="I322" s="337" t="e">
        <f t="shared" si="26"/>
        <v>#DIV/0!</v>
      </c>
    </row>
    <row r="323" spans="1:10" ht="31.15" hidden="1" customHeight="1" x14ac:dyDescent="0.25">
      <c r="A323" s="335" t="s">
        <v>88</v>
      </c>
      <c r="B323" s="482">
        <v>903</v>
      </c>
      <c r="C323" s="268" t="s">
        <v>81</v>
      </c>
      <c r="D323" s="268" t="s">
        <v>96</v>
      </c>
      <c r="E323" s="268" t="s">
        <v>476</v>
      </c>
      <c r="F323" s="268" t="s">
        <v>89</v>
      </c>
      <c r="G323" s="337">
        <f>G324</f>
        <v>0</v>
      </c>
      <c r="H323" s="337">
        <f>H324</f>
        <v>0</v>
      </c>
      <c r="I323" s="337" t="e">
        <f t="shared" si="26"/>
        <v>#DIV/0!</v>
      </c>
    </row>
    <row r="324" spans="1:10" ht="31.15" hidden="1" customHeight="1" x14ac:dyDescent="0.25">
      <c r="A324" s="335" t="s">
        <v>90</v>
      </c>
      <c r="B324" s="482">
        <v>903</v>
      </c>
      <c r="C324" s="268" t="s">
        <v>81</v>
      </c>
      <c r="D324" s="268" t="s">
        <v>96</v>
      </c>
      <c r="E324" s="268" t="s">
        <v>476</v>
      </c>
      <c r="F324" s="268" t="s">
        <v>91</v>
      </c>
      <c r="G324" s="337">
        <v>0</v>
      </c>
      <c r="H324" s="337">
        <v>0</v>
      </c>
      <c r="I324" s="337" t="e">
        <f t="shared" si="26"/>
        <v>#DIV/0!</v>
      </c>
    </row>
    <row r="325" spans="1:10" ht="19.149999999999999" hidden="1" customHeight="1" x14ac:dyDescent="0.25">
      <c r="A325" s="335" t="s">
        <v>423</v>
      </c>
      <c r="B325" s="482">
        <v>903</v>
      </c>
      <c r="C325" s="268" t="s">
        <v>81</v>
      </c>
      <c r="D325" s="268" t="s">
        <v>96</v>
      </c>
      <c r="E325" s="268" t="s">
        <v>477</v>
      </c>
      <c r="F325" s="268"/>
      <c r="G325" s="337">
        <f>G326</f>
        <v>0</v>
      </c>
      <c r="H325" s="337">
        <f>H326</f>
        <v>0</v>
      </c>
      <c r="I325" s="337" t="e">
        <f t="shared" si="26"/>
        <v>#DIV/0!</v>
      </c>
    </row>
    <row r="326" spans="1:10" ht="31.15" hidden="1" customHeight="1" x14ac:dyDescent="0.25">
      <c r="A326" s="335" t="s">
        <v>88</v>
      </c>
      <c r="B326" s="482">
        <v>903</v>
      </c>
      <c r="C326" s="268" t="s">
        <v>81</v>
      </c>
      <c r="D326" s="268" t="s">
        <v>96</v>
      </c>
      <c r="E326" s="268" t="s">
        <v>477</v>
      </c>
      <c r="F326" s="268" t="s">
        <v>89</v>
      </c>
      <c r="G326" s="337">
        <f>G327</f>
        <v>0</v>
      </c>
      <c r="H326" s="337">
        <f>H327</f>
        <v>0</v>
      </c>
      <c r="I326" s="337" t="e">
        <f t="shared" si="26"/>
        <v>#DIV/0!</v>
      </c>
    </row>
    <row r="327" spans="1:10" ht="31.15" hidden="1" customHeight="1" x14ac:dyDescent="0.25">
      <c r="A327" s="335" t="s">
        <v>90</v>
      </c>
      <c r="B327" s="482">
        <v>903</v>
      </c>
      <c r="C327" s="268" t="s">
        <v>81</v>
      </c>
      <c r="D327" s="268" t="s">
        <v>96</v>
      </c>
      <c r="E327" s="268" t="s">
        <v>477</v>
      </c>
      <c r="F327" s="268" t="s">
        <v>91</v>
      </c>
      <c r="G327" s="337">
        <v>0</v>
      </c>
      <c r="H327" s="337">
        <v>0</v>
      </c>
      <c r="I327" s="337" t="e">
        <f t="shared" si="26"/>
        <v>#DIV/0!</v>
      </c>
    </row>
    <row r="328" spans="1:10" ht="40.700000000000003" hidden="1" customHeight="1" x14ac:dyDescent="0.25">
      <c r="A328" s="20" t="s">
        <v>269</v>
      </c>
      <c r="B328" s="482">
        <v>903</v>
      </c>
      <c r="C328" s="268" t="s">
        <v>81</v>
      </c>
      <c r="D328" s="268" t="s">
        <v>96</v>
      </c>
      <c r="E328" s="268" t="s">
        <v>478</v>
      </c>
      <c r="F328" s="268"/>
      <c r="G328" s="337">
        <f>G329</f>
        <v>0</v>
      </c>
      <c r="H328" s="337">
        <f>H329</f>
        <v>0</v>
      </c>
      <c r="I328" s="337" t="e">
        <f t="shared" si="26"/>
        <v>#DIV/0!</v>
      </c>
    </row>
    <row r="329" spans="1:10" ht="31.15" hidden="1" customHeight="1" x14ac:dyDescent="0.25">
      <c r="A329" s="335" t="s">
        <v>88</v>
      </c>
      <c r="B329" s="482">
        <v>903</v>
      </c>
      <c r="C329" s="268" t="s">
        <v>81</v>
      </c>
      <c r="D329" s="268" t="s">
        <v>96</v>
      </c>
      <c r="E329" s="268" t="s">
        <v>478</v>
      </c>
      <c r="F329" s="268" t="s">
        <v>89</v>
      </c>
      <c r="G329" s="337">
        <f>G330</f>
        <v>0</v>
      </c>
      <c r="H329" s="337">
        <f>H330</f>
        <v>0</v>
      </c>
      <c r="I329" s="337" t="e">
        <f t="shared" si="26"/>
        <v>#DIV/0!</v>
      </c>
    </row>
    <row r="330" spans="1:10" ht="31.15" hidden="1" customHeight="1" x14ac:dyDescent="0.25">
      <c r="A330" s="335" t="s">
        <v>90</v>
      </c>
      <c r="B330" s="482">
        <v>903</v>
      </c>
      <c r="C330" s="268" t="s">
        <v>81</v>
      </c>
      <c r="D330" s="268" t="s">
        <v>96</v>
      </c>
      <c r="E330" s="268" t="s">
        <v>478</v>
      </c>
      <c r="F330" s="268" t="s">
        <v>91</v>
      </c>
      <c r="G330" s="337">
        <v>0</v>
      </c>
      <c r="H330" s="337">
        <v>0</v>
      </c>
      <c r="I330" s="337" t="e">
        <f t="shared" si="26"/>
        <v>#DIV/0!</v>
      </c>
    </row>
    <row r="331" spans="1:10" ht="47.25" x14ac:dyDescent="0.25">
      <c r="A331" s="130" t="s">
        <v>999</v>
      </c>
      <c r="B331" s="432">
        <v>903</v>
      </c>
      <c r="C331" s="481" t="s">
        <v>81</v>
      </c>
      <c r="D331" s="481" t="s">
        <v>96</v>
      </c>
      <c r="E331" s="481" t="s">
        <v>259</v>
      </c>
      <c r="F331" s="481"/>
      <c r="G331" s="338">
        <f>G333</f>
        <v>6.8584300000000002</v>
      </c>
      <c r="H331" s="338">
        <f>H333</f>
        <v>6.8584300000000002</v>
      </c>
      <c r="I331" s="338">
        <f t="shared" si="26"/>
        <v>100</v>
      </c>
    </row>
    <row r="332" spans="1:10" ht="44.45" customHeight="1" x14ac:dyDescent="0.25">
      <c r="A332" s="30" t="s">
        <v>309</v>
      </c>
      <c r="B332" s="432">
        <v>903</v>
      </c>
      <c r="C332" s="481" t="s">
        <v>81</v>
      </c>
      <c r="D332" s="481" t="s">
        <v>96</v>
      </c>
      <c r="E332" s="481" t="s">
        <v>315</v>
      </c>
      <c r="F332" s="481"/>
      <c r="G332" s="338">
        <f t="shared" ref="G332:H334" si="29">G333</f>
        <v>6.8584300000000002</v>
      </c>
      <c r="H332" s="338">
        <f t="shared" si="29"/>
        <v>6.8584300000000002</v>
      </c>
      <c r="I332" s="338">
        <f t="shared" ref="I332:I395" si="30">H332/G332*100</f>
        <v>100</v>
      </c>
    </row>
    <row r="333" spans="1:10" ht="31.5" x14ac:dyDescent="0.25">
      <c r="A333" s="26" t="s">
        <v>271</v>
      </c>
      <c r="B333" s="482">
        <v>903</v>
      </c>
      <c r="C333" s="268" t="s">
        <v>81</v>
      </c>
      <c r="D333" s="268" t="s">
        <v>96</v>
      </c>
      <c r="E333" s="268" t="s">
        <v>310</v>
      </c>
      <c r="F333" s="268"/>
      <c r="G333" s="337">
        <f t="shared" si="29"/>
        <v>6.8584300000000002</v>
      </c>
      <c r="H333" s="337">
        <f t="shared" si="29"/>
        <v>6.8584300000000002</v>
      </c>
      <c r="I333" s="337">
        <f t="shared" si="30"/>
        <v>100</v>
      </c>
    </row>
    <row r="334" spans="1:10" ht="31.5" x14ac:dyDescent="0.25">
      <c r="A334" s="335" t="s">
        <v>88</v>
      </c>
      <c r="B334" s="482">
        <v>903</v>
      </c>
      <c r="C334" s="268" t="s">
        <v>81</v>
      </c>
      <c r="D334" s="268" t="s">
        <v>96</v>
      </c>
      <c r="E334" s="268" t="s">
        <v>310</v>
      </c>
      <c r="F334" s="268" t="s">
        <v>89</v>
      </c>
      <c r="G334" s="337">
        <f t="shared" si="29"/>
        <v>6.8584300000000002</v>
      </c>
      <c r="H334" s="337">
        <f t="shared" si="29"/>
        <v>6.8584300000000002</v>
      </c>
      <c r="I334" s="337">
        <f t="shared" si="30"/>
        <v>100</v>
      </c>
    </row>
    <row r="335" spans="1:10" ht="31.5" x14ac:dyDescent="0.25">
      <c r="A335" s="335" t="s">
        <v>90</v>
      </c>
      <c r="B335" s="482">
        <v>903</v>
      </c>
      <c r="C335" s="268" t="s">
        <v>81</v>
      </c>
      <c r="D335" s="268" t="s">
        <v>96</v>
      </c>
      <c r="E335" s="268" t="s">
        <v>310</v>
      </c>
      <c r="F335" s="268" t="s">
        <v>91</v>
      </c>
      <c r="G335" s="337">
        <f>6+0.85843</f>
        <v>6.8584300000000002</v>
      </c>
      <c r="H335" s="337">
        <v>6.8584300000000002</v>
      </c>
      <c r="I335" s="337">
        <f t="shared" si="30"/>
        <v>100</v>
      </c>
      <c r="J335" s="341"/>
    </row>
    <row r="336" spans="1:10" ht="63" hidden="1" x14ac:dyDescent="0.25">
      <c r="A336" s="130" t="s">
        <v>899</v>
      </c>
      <c r="B336" s="432">
        <v>903</v>
      </c>
      <c r="C336" s="488" t="s">
        <v>81</v>
      </c>
      <c r="D336" s="488" t="s">
        <v>96</v>
      </c>
      <c r="E336" s="398" t="s">
        <v>291</v>
      </c>
      <c r="F336" s="488"/>
      <c r="G336" s="338">
        <f t="shared" ref="G336:H339" si="31">G337</f>
        <v>0</v>
      </c>
      <c r="H336" s="338">
        <f t="shared" si="31"/>
        <v>0</v>
      </c>
      <c r="I336" s="337" t="e">
        <f t="shared" si="30"/>
        <v>#DIV/0!</v>
      </c>
    </row>
    <row r="337" spans="1:10" ht="47.25" hidden="1" x14ac:dyDescent="0.25">
      <c r="A337" s="81" t="s">
        <v>317</v>
      </c>
      <c r="B337" s="432">
        <v>903</v>
      </c>
      <c r="C337" s="488" t="s">
        <v>81</v>
      </c>
      <c r="D337" s="488" t="s">
        <v>96</v>
      </c>
      <c r="E337" s="398" t="s">
        <v>491</v>
      </c>
      <c r="F337" s="488"/>
      <c r="G337" s="338">
        <f t="shared" si="31"/>
        <v>0</v>
      </c>
      <c r="H337" s="338">
        <f t="shared" si="31"/>
        <v>0</v>
      </c>
      <c r="I337" s="337" t="e">
        <f t="shared" si="30"/>
        <v>#DIV/0!</v>
      </c>
    </row>
    <row r="338" spans="1:10" ht="31.5" hidden="1" x14ac:dyDescent="0.25">
      <c r="A338" s="66" t="s">
        <v>108</v>
      </c>
      <c r="B338" s="482">
        <v>903</v>
      </c>
      <c r="C338" s="489" t="s">
        <v>81</v>
      </c>
      <c r="D338" s="489" t="s">
        <v>96</v>
      </c>
      <c r="E338" s="399" t="s">
        <v>318</v>
      </c>
      <c r="F338" s="489"/>
      <c r="G338" s="337">
        <f t="shared" si="31"/>
        <v>0</v>
      </c>
      <c r="H338" s="337">
        <f t="shared" si="31"/>
        <v>0</v>
      </c>
      <c r="I338" s="337" t="e">
        <f t="shared" si="30"/>
        <v>#DIV/0!</v>
      </c>
    </row>
    <row r="339" spans="1:10" ht="31.5" hidden="1" x14ac:dyDescent="0.25">
      <c r="A339" s="335" t="s">
        <v>88</v>
      </c>
      <c r="B339" s="482">
        <v>903</v>
      </c>
      <c r="C339" s="489" t="s">
        <v>81</v>
      </c>
      <c r="D339" s="489" t="s">
        <v>96</v>
      </c>
      <c r="E339" s="399" t="s">
        <v>318</v>
      </c>
      <c r="F339" s="489" t="s">
        <v>89</v>
      </c>
      <c r="G339" s="337">
        <f t="shared" si="31"/>
        <v>0</v>
      </c>
      <c r="H339" s="337">
        <f t="shared" si="31"/>
        <v>0</v>
      </c>
      <c r="I339" s="337" t="e">
        <f t="shared" si="30"/>
        <v>#DIV/0!</v>
      </c>
    </row>
    <row r="340" spans="1:10" ht="31.5" hidden="1" x14ac:dyDescent="0.25">
      <c r="A340" s="335" t="s">
        <v>90</v>
      </c>
      <c r="B340" s="482">
        <v>903</v>
      </c>
      <c r="C340" s="489" t="s">
        <v>81</v>
      </c>
      <c r="D340" s="489" t="s">
        <v>96</v>
      </c>
      <c r="E340" s="399" t="s">
        <v>318</v>
      </c>
      <c r="F340" s="489" t="s">
        <v>91</v>
      </c>
      <c r="G340" s="337">
        <v>0</v>
      </c>
      <c r="H340" s="337"/>
      <c r="I340" s="337" t="e">
        <f t="shared" si="30"/>
        <v>#DIV/0!</v>
      </c>
    </row>
    <row r="341" spans="1:10" ht="21.2" hidden="1" customHeight="1" x14ac:dyDescent="0.25">
      <c r="A341" s="315" t="s">
        <v>127</v>
      </c>
      <c r="B341" s="432">
        <v>903</v>
      </c>
      <c r="C341" s="481" t="s">
        <v>103</v>
      </c>
      <c r="D341" s="268"/>
      <c r="E341" s="268"/>
      <c r="F341" s="487"/>
      <c r="G341" s="338">
        <f t="shared" ref="G341:H343" si="32">G342</f>
        <v>0</v>
      </c>
      <c r="H341" s="338">
        <f t="shared" si="32"/>
        <v>0</v>
      </c>
      <c r="I341" s="337" t="e">
        <f t="shared" si="30"/>
        <v>#DIV/0!</v>
      </c>
    </row>
    <row r="342" spans="1:10" ht="21.2" hidden="1" customHeight="1" x14ac:dyDescent="0.25">
      <c r="A342" s="116" t="s">
        <v>131</v>
      </c>
      <c r="B342" s="432">
        <v>903</v>
      </c>
      <c r="C342" s="481" t="s">
        <v>103</v>
      </c>
      <c r="D342" s="481" t="s">
        <v>132</v>
      </c>
      <c r="E342" s="268"/>
      <c r="F342" s="487"/>
      <c r="G342" s="338">
        <f t="shared" si="32"/>
        <v>0</v>
      </c>
      <c r="H342" s="338">
        <f t="shared" si="32"/>
        <v>0</v>
      </c>
      <c r="I342" s="337" t="e">
        <f t="shared" si="30"/>
        <v>#DIV/0!</v>
      </c>
    </row>
    <row r="343" spans="1:10" ht="54" hidden="1" customHeight="1" x14ac:dyDescent="0.25">
      <c r="A343" s="116" t="s">
        <v>882</v>
      </c>
      <c r="B343" s="432">
        <v>903</v>
      </c>
      <c r="C343" s="481" t="s">
        <v>103</v>
      </c>
      <c r="D343" s="481" t="s">
        <v>132</v>
      </c>
      <c r="E343" s="481" t="s">
        <v>169</v>
      </c>
      <c r="F343" s="486"/>
      <c r="G343" s="338">
        <f t="shared" si="32"/>
        <v>0</v>
      </c>
      <c r="H343" s="338">
        <f t="shared" si="32"/>
        <v>0</v>
      </c>
      <c r="I343" s="337" t="e">
        <f t="shared" si="30"/>
        <v>#DIV/0!</v>
      </c>
    </row>
    <row r="344" spans="1:10" ht="53.45" hidden="1" customHeight="1" x14ac:dyDescent="0.25">
      <c r="A344" s="116" t="s">
        <v>179</v>
      </c>
      <c r="B344" s="432">
        <v>903</v>
      </c>
      <c r="C344" s="481" t="s">
        <v>103</v>
      </c>
      <c r="D344" s="481" t="s">
        <v>132</v>
      </c>
      <c r="E344" s="481" t="s">
        <v>176</v>
      </c>
      <c r="F344" s="481"/>
      <c r="G344" s="338">
        <f>G345+G349+G353+G357</f>
        <v>0</v>
      </c>
      <c r="H344" s="338">
        <f>H345+H349+H353+H357</f>
        <v>0</v>
      </c>
      <c r="I344" s="337" t="e">
        <f t="shared" si="30"/>
        <v>#DIV/0!</v>
      </c>
    </row>
    <row r="345" spans="1:10" ht="33" hidden="1" customHeight="1" x14ac:dyDescent="0.25">
      <c r="A345" s="79" t="s">
        <v>467</v>
      </c>
      <c r="B345" s="432">
        <v>903</v>
      </c>
      <c r="C345" s="481" t="s">
        <v>103</v>
      </c>
      <c r="D345" s="481" t="s">
        <v>132</v>
      </c>
      <c r="E345" s="481" t="s">
        <v>355</v>
      </c>
      <c r="F345" s="481"/>
      <c r="G345" s="338">
        <f t="shared" ref="G345:H347" si="33">G346</f>
        <v>0</v>
      </c>
      <c r="H345" s="338">
        <f t="shared" si="33"/>
        <v>0</v>
      </c>
      <c r="I345" s="337" t="e">
        <f t="shared" si="30"/>
        <v>#DIV/0!</v>
      </c>
    </row>
    <row r="346" spans="1:10" ht="47.25" hidden="1" customHeight="1" x14ac:dyDescent="0.25">
      <c r="A346" s="335" t="s">
        <v>503</v>
      </c>
      <c r="B346" s="482">
        <v>903</v>
      </c>
      <c r="C346" s="268" t="s">
        <v>103</v>
      </c>
      <c r="D346" s="268" t="s">
        <v>132</v>
      </c>
      <c r="E346" s="268" t="s">
        <v>629</v>
      </c>
      <c r="F346" s="268"/>
      <c r="G346" s="337">
        <f t="shared" si="33"/>
        <v>0</v>
      </c>
      <c r="H346" s="337">
        <f t="shared" si="33"/>
        <v>0</v>
      </c>
      <c r="I346" s="337" t="e">
        <f t="shared" si="30"/>
        <v>#DIV/0!</v>
      </c>
    </row>
    <row r="347" spans="1:10" ht="21.2" hidden="1" customHeight="1" x14ac:dyDescent="0.25">
      <c r="A347" s="335" t="s">
        <v>137</v>
      </c>
      <c r="B347" s="482">
        <v>903</v>
      </c>
      <c r="C347" s="268" t="s">
        <v>103</v>
      </c>
      <c r="D347" s="268" t="s">
        <v>132</v>
      </c>
      <c r="E347" s="268" t="s">
        <v>629</v>
      </c>
      <c r="F347" s="268" t="s">
        <v>138</v>
      </c>
      <c r="G347" s="337">
        <f t="shared" si="33"/>
        <v>0</v>
      </c>
      <c r="H347" s="337">
        <f t="shared" si="33"/>
        <v>0</v>
      </c>
      <c r="I347" s="337" t="e">
        <f t="shared" si="30"/>
        <v>#DIV/0!</v>
      </c>
    </row>
    <row r="348" spans="1:10" ht="29.25" hidden="1" customHeight="1" x14ac:dyDescent="0.25">
      <c r="A348" s="335" t="s">
        <v>139</v>
      </c>
      <c r="B348" s="482">
        <v>903</v>
      </c>
      <c r="C348" s="268" t="s">
        <v>103</v>
      </c>
      <c r="D348" s="268" t="s">
        <v>132</v>
      </c>
      <c r="E348" s="268" t="s">
        <v>629</v>
      </c>
      <c r="F348" s="268" t="s">
        <v>140</v>
      </c>
      <c r="G348" s="337">
        <v>0</v>
      </c>
      <c r="H348" s="337">
        <v>0</v>
      </c>
      <c r="I348" s="337" t="e">
        <f t="shared" si="30"/>
        <v>#DIV/0!</v>
      </c>
    </row>
    <row r="349" spans="1:10" ht="33" hidden="1" customHeight="1" x14ac:dyDescent="0.25">
      <c r="A349" s="116" t="s">
        <v>466</v>
      </c>
      <c r="B349" s="432">
        <v>903</v>
      </c>
      <c r="C349" s="481" t="s">
        <v>103</v>
      </c>
      <c r="D349" s="481" t="s">
        <v>132</v>
      </c>
      <c r="E349" s="481" t="s">
        <v>556</v>
      </c>
      <c r="F349" s="481"/>
      <c r="G349" s="338">
        <f t="shared" ref="G349:H351" si="34">G350</f>
        <v>0</v>
      </c>
      <c r="H349" s="338">
        <f t="shared" si="34"/>
        <v>0</v>
      </c>
      <c r="I349" s="337" t="e">
        <f t="shared" si="30"/>
        <v>#DIV/0!</v>
      </c>
    </row>
    <row r="350" spans="1:10" ht="94.5" hidden="1" x14ac:dyDescent="0.25">
      <c r="A350" s="335" t="s">
        <v>181</v>
      </c>
      <c r="B350" s="482">
        <v>903</v>
      </c>
      <c r="C350" s="268" t="s">
        <v>103</v>
      </c>
      <c r="D350" s="268" t="s">
        <v>132</v>
      </c>
      <c r="E350" s="268" t="s">
        <v>557</v>
      </c>
      <c r="F350" s="268"/>
      <c r="G350" s="337">
        <f t="shared" si="34"/>
        <v>0</v>
      </c>
      <c r="H350" s="337">
        <f t="shared" si="34"/>
        <v>0</v>
      </c>
      <c r="I350" s="337" t="e">
        <f t="shared" si="30"/>
        <v>#DIV/0!</v>
      </c>
    </row>
    <row r="351" spans="1:10" ht="39.200000000000003" hidden="1" customHeight="1" x14ac:dyDescent="0.25">
      <c r="A351" s="335" t="s">
        <v>149</v>
      </c>
      <c r="B351" s="482">
        <v>903</v>
      </c>
      <c r="C351" s="268" t="s">
        <v>103</v>
      </c>
      <c r="D351" s="268" t="s">
        <v>132</v>
      </c>
      <c r="E351" s="268" t="s">
        <v>557</v>
      </c>
      <c r="F351" s="268" t="s">
        <v>150</v>
      </c>
      <c r="G351" s="337">
        <f t="shared" si="34"/>
        <v>0</v>
      </c>
      <c r="H351" s="337">
        <f t="shared" si="34"/>
        <v>0</v>
      </c>
      <c r="I351" s="337" t="e">
        <f t="shared" si="30"/>
        <v>#DIV/0!</v>
      </c>
    </row>
    <row r="352" spans="1:10" ht="59.25" hidden="1" customHeight="1" x14ac:dyDescent="0.25">
      <c r="A352" s="335" t="s">
        <v>499</v>
      </c>
      <c r="B352" s="482">
        <v>903</v>
      </c>
      <c r="C352" s="268" t="s">
        <v>103</v>
      </c>
      <c r="D352" s="268" t="s">
        <v>132</v>
      </c>
      <c r="E352" s="268" t="s">
        <v>557</v>
      </c>
      <c r="F352" s="268" t="s">
        <v>180</v>
      </c>
      <c r="G352" s="337">
        <f>215.06-15.06-200</f>
        <v>0</v>
      </c>
      <c r="H352" s="337">
        <f>215.06-15.06-200</f>
        <v>0</v>
      </c>
      <c r="I352" s="337" t="e">
        <f t="shared" si="30"/>
        <v>#DIV/0!</v>
      </c>
      <c r="J352" s="341"/>
    </row>
    <row r="353" spans="1:10" ht="36.75" hidden="1" customHeight="1" x14ac:dyDescent="0.25">
      <c r="A353" s="116" t="s">
        <v>424</v>
      </c>
      <c r="B353" s="432">
        <v>903</v>
      </c>
      <c r="C353" s="481" t="s">
        <v>103</v>
      </c>
      <c r="D353" s="481" t="s">
        <v>132</v>
      </c>
      <c r="E353" s="481" t="s">
        <v>627</v>
      </c>
      <c r="F353" s="481"/>
      <c r="G353" s="338">
        <f t="shared" ref="G353:H355" si="35">G354</f>
        <v>0</v>
      </c>
      <c r="H353" s="338">
        <f t="shared" si="35"/>
        <v>0</v>
      </c>
      <c r="I353" s="337" t="e">
        <f t="shared" si="30"/>
        <v>#DIV/0!</v>
      </c>
    </row>
    <row r="354" spans="1:10" ht="36.75" hidden="1" customHeight="1" x14ac:dyDescent="0.25">
      <c r="A354" s="335" t="s">
        <v>182</v>
      </c>
      <c r="B354" s="482">
        <v>903</v>
      </c>
      <c r="C354" s="268" t="s">
        <v>103</v>
      </c>
      <c r="D354" s="268" t="s">
        <v>132</v>
      </c>
      <c r="E354" s="268" t="s">
        <v>628</v>
      </c>
      <c r="F354" s="268"/>
      <c r="G354" s="337">
        <f t="shared" si="35"/>
        <v>0</v>
      </c>
      <c r="H354" s="337">
        <f t="shared" si="35"/>
        <v>0</v>
      </c>
      <c r="I354" s="337" t="e">
        <f t="shared" si="30"/>
        <v>#DIV/0!</v>
      </c>
    </row>
    <row r="355" spans="1:10" ht="36.75" hidden="1" customHeight="1" x14ac:dyDescent="0.25">
      <c r="A355" s="335" t="s">
        <v>88</v>
      </c>
      <c r="B355" s="482">
        <v>903</v>
      </c>
      <c r="C355" s="268" t="s">
        <v>103</v>
      </c>
      <c r="D355" s="268" t="s">
        <v>132</v>
      </c>
      <c r="E355" s="268" t="s">
        <v>628</v>
      </c>
      <c r="F355" s="268" t="s">
        <v>89</v>
      </c>
      <c r="G355" s="337">
        <f t="shared" si="35"/>
        <v>0</v>
      </c>
      <c r="H355" s="337">
        <f t="shared" si="35"/>
        <v>0</v>
      </c>
      <c r="I355" s="337" t="e">
        <f t="shared" si="30"/>
        <v>#DIV/0!</v>
      </c>
    </row>
    <row r="356" spans="1:10" ht="36.75" hidden="1" customHeight="1" x14ac:dyDescent="0.25">
      <c r="A356" s="335" t="s">
        <v>90</v>
      </c>
      <c r="B356" s="482">
        <v>903</v>
      </c>
      <c r="C356" s="268" t="s">
        <v>103</v>
      </c>
      <c r="D356" s="268" t="s">
        <v>132</v>
      </c>
      <c r="E356" s="268" t="s">
        <v>628</v>
      </c>
      <c r="F356" s="268" t="s">
        <v>91</v>
      </c>
      <c r="G356" s="337">
        <v>0</v>
      </c>
      <c r="H356" s="337">
        <v>0</v>
      </c>
      <c r="I356" s="337" t="e">
        <f t="shared" si="30"/>
        <v>#DIV/0!</v>
      </c>
    </row>
    <row r="357" spans="1:10" ht="36.75" hidden="1" customHeight="1" x14ac:dyDescent="0.25">
      <c r="A357" s="180" t="s">
        <v>512</v>
      </c>
      <c r="B357" s="432">
        <v>903</v>
      </c>
      <c r="C357" s="481" t="s">
        <v>103</v>
      </c>
      <c r="D357" s="481" t="s">
        <v>132</v>
      </c>
      <c r="E357" s="481" t="s">
        <v>558</v>
      </c>
      <c r="F357" s="481"/>
      <c r="G357" s="338">
        <f t="shared" ref="G357:H359" si="36">G358</f>
        <v>0</v>
      </c>
      <c r="H357" s="338">
        <f t="shared" si="36"/>
        <v>0</v>
      </c>
      <c r="I357" s="337" t="e">
        <f t="shared" si="30"/>
        <v>#DIV/0!</v>
      </c>
    </row>
    <row r="358" spans="1:10" ht="36.75" hidden="1" customHeight="1" x14ac:dyDescent="0.25">
      <c r="A358" s="224" t="s">
        <v>545</v>
      </c>
      <c r="B358" s="482">
        <v>903</v>
      </c>
      <c r="C358" s="268" t="s">
        <v>103</v>
      </c>
      <c r="D358" s="268" t="s">
        <v>132</v>
      </c>
      <c r="E358" s="268" t="s">
        <v>559</v>
      </c>
      <c r="F358" s="268"/>
      <c r="G358" s="337">
        <f t="shared" si="36"/>
        <v>0</v>
      </c>
      <c r="H358" s="337">
        <f t="shared" si="36"/>
        <v>0</v>
      </c>
      <c r="I358" s="337" t="e">
        <f t="shared" si="30"/>
        <v>#DIV/0!</v>
      </c>
    </row>
    <row r="359" spans="1:10" ht="36.75" hidden="1" customHeight="1" x14ac:dyDescent="0.25">
      <c r="A359" s="335" t="s">
        <v>88</v>
      </c>
      <c r="B359" s="482">
        <v>903</v>
      </c>
      <c r="C359" s="268" t="s">
        <v>103</v>
      </c>
      <c r="D359" s="268" t="s">
        <v>132</v>
      </c>
      <c r="E359" s="268" t="s">
        <v>559</v>
      </c>
      <c r="F359" s="268" t="s">
        <v>89</v>
      </c>
      <c r="G359" s="337">
        <f t="shared" si="36"/>
        <v>0</v>
      </c>
      <c r="H359" s="337">
        <f t="shared" si="36"/>
        <v>0</v>
      </c>
      <c r="I359" s="337" t="e">
        <f t="shared" si="30"/>
        <v>#DIV/0!</v>
      </c>
    </row>
    <row r="360" spans="1:10" ht="36.75" hidden="1" customHeight="1" x14ac:dyDescent="0.25">
      <c r="A360" s="335" t="s">
        <v>90</v>
      </c>
      <c r="B360" s="482">
        <v>903</v>
      </c>
      <c r="C360" s="268" t="s">
        <v>103</v>
      </c>
      <c r="D360" s="268" t="s">
        <v>132</v>
      </c>
      <c r="E360" s="268" t="s">
        <v>559</v>
      </c>
      <c r="F360" s="268" t="s">
        <v>91</v>
      </c>
      <c r="G360" s="337">
        <v>0</v>
      </c>
      <c r="H360" s="337">
        <v>0</v>
      </c>
      <c r="I360" s="337" t="e">
        <f t="shared" si="30"/>
        <v>#DIV/0!</v>
      </c>
    </row>
    <row r="361" spans="1:10" ht="15.75" x14ac:dyDescent="0.25">
      <c r="A361" s="116" t="s">
        <v>144</v>
      </c>
      <c r="B361" s="432">
        <v>903</v>
      </c>
      <c r="C361" s="481" t="s">
        <v>145</v>
      </c>
      <c r="D361" s="268"/>
      <c r="E361" s="268"/>
      <c r="F361" s="268"/>
      <c r="G361" s="338">
        <f>G362+G408</f>
        <v>21676.625239999998</v>
      </c>
      <c r="H361" s="338">
        <f>H362+H408</f>
        <v>21579.04581</v>
      </c>
      <c r="I361" s="338">
        <f t="shared" si="30"/>
        <v>99.549840305307612</v>
      </c>
      <c r="J361" s="281"/>
    </row>
    <row r="362" spans="1:10" ht="15.75" x14ac:dyDescent="0.25">
      <c r="A362" s="116" t="s">
        <v>146</v>
      </c>
      <c r="B362" s="432">
        <v>903</v>
      </c>
      <c r="C362" s="481" t="s">
        <v>145</v>
      </c>
      <c r="D362" s="481" t="s">
        <v>120</v>
      </c>
      <c r="E362" s="481"/>
      <c r="F362" s="481"/>
      <c r="G362" s="338">
        <f>G363+G403+G398</f>
        <v>20294.509259999999</v>
      </c>
      <c r="H362" s="338">
        <f>H363+H403+H398</f>
        <v>20196.929830000001</v>
      </c>
      <c r="I362" s="338">
        <f t="shared" si="30"/>
        <v>99.5191831014494</v>
      </c>
    </row>
    <row r="363" spans="1:10" ht="36.75" customHeight="1" x14ac:dyDescent="0.25">
      <c r="A363" s="116" t="s">
        <v>891</v>
      </c>
      <c r="B363" s="432">
        <v>903</v>
      </c>
      <c r="C363" s="481" t="s">
        <v>145</v>
      </c>
      <c r="D363" s="481" t="s">
        <v>120</v>
      </c>
      <c r="E363" s="481" t="s">
        <v>147</v>
      </c>
      <c r="F363" s="481"/>
      <c r="G363" s="338">
        <f>G364+G381+G390+G394</f>
        <v>19918.84678</v>
      </c>
      <c r="H363" s="338">
        <f>H364+H381+H390+H394</f>
        <v>19821.267350000002</v>
      </c>
      <c r="I363" s="338">
        <f t="shared" si="30"/>
        <v>99.510115062996647</v>
      </c>
    </row>
    <row r="364" spans="1:10" ht="36.75" customHeight="1" x14ac:dyDescent="0.25">
      <c r="A364" s="116" t="s">
        <v>621</v>
      </c>
      <c r="B364" s="432">
        <v>903</v>
      </c>
      <c r="C364" s="481" t="s">
        <v>145</v>
      </c>
      <c r="D364" s="481" t="s">
        <v>120</v>
      </c>
      <c r="E364" s="481" t="s">
        <v>560</v>
      </c>
      <c r="F364" s="481"/>
      <c r="G364" s="273">
        <f>G365+G372+G378+G375</f>
        <v>18303.034729999999</v>
      </c>
      <c r="H364" s="273">
        <f>H365+H372+H378+H375</f>
        <v>18303.034729999999</v>
      </c>
      <c r="I364" s="338">
        <f t="shared" si="30"/>
        <v>100</v>
      </c>
    </row>
    <row r="365" spans="1:10" ht="15.75" x14ac:dyDescent="0.25">
      <c r="A365" s="335" t="s">
        <v>282</v>
      </c>
      <c r="B365" s="482">
        <v>903</v>
      </c>
      <c r="C365" s="268" t="s">
        <v>145</v>
      </c>
      <c r="D365" s="268" t="s">
        <v>120</v>
      </c>
      <c r="E365" s="268" t="s">
        <v>561</v>
      </c>
      <c r="F365" s="268"/>
      <c r="G365" s="271">
        <f>G366+G368+G370</f>
        <v>18079.56337</v>
      </c>
      <c r="H365" s="271">
        <f>H366+H368+H370</f>
        <v>18079.56337</v>
      </c>
      <c r="I365" s="337">
        <f t="shared" si="30"/>
        <v>100</v>
      </c>
    </row>
    <row r="366" spans="1:10" ht="66" customHeight="1" x14ac:dyDescent="0.25">
      <c r="A366" s="335" t="s">
        <v>84</v>
      </c>
      <c r="B366" s="482">
        <v>903</v>
      </c>
      <c r="C366" s="268" t="s">
        <v>145</v>
      </c>
      <c r="D366" s="268" t="s">
        <v>120</v>
      </c>
      <c r="E366" s="268" t="s">
        <v>561</v>
      </c>
      <c r="F366" s="268" t="s">
        <v>85</v>
      </c>
      <c r="G366" s="271">
        <f>G367</f>
        <v>15535.977930000001</v>
      </c>
      <c r="H366" s="271">
        <f>H367</f>
        <v>15535.977929999999</v>
      </c>
      <c r="I366" s="337">
        <f t="shared" si="30"/>
        <v>99.999999999999986</v>
      </c>
    </row>
    <row r="367" spans="1:10" ht="28.15" customHeight="1" x14ac:dyDescent="0.25">
      <c r="A367" s="336" t="s">
        <v>168</v>
      </c>
      <c r="B367" s="482">
        <v>903</v>
      </c>
      <c r="C367" s="268" t="s">
        <v>145</v>
      </c>
      <c r="D367" s="268" t="s">
        <v>120</v>
      </c>
      <c r="E367" s="268" t="s">
        <v>561</v>
      </c>
      <c r="F367" s="268" t="s">
        <v>117</v>
      </c>
      <c r="G367" s="271">
        <f>13806.04+6+10-53.2+556+3.555+229.2+0.06-10.9+181.91483+123.6+22.7+204.5+2.31+11.9+149.96457-11.4+261+15.76+141.5-0.00767-0.00803+9+5.26-98.97-29.73659-0.01439-0.04979</f>
        <v>15535.977930000001</v>
      </c>
      <c r="H367" s="271">
        <v>15535.977929999999</v>
      </c>
      <c r="I367" s="337">
        <f t="shared" si="30"/>
        <v>99.999999999999986</v>
      </c>
      <c r="J367" s="341"/>
    </row>
    <row r="368" spans="1:10" ht="31.5" x14ac:dyDescent="0.25">
      <c r="A368" s="335" t="s">
        <v>88</v>
      </c>
      <c r="B368" s="482">
        <v>903</v>
      </c>
      <c r="C368" s="268" t="s">
        <v>145</v>
      </c>
      <c r="D368" s="268" t="s">
        <v>120</v>
      </c>
      <c r="E368" s="268" t="s">
        <v>561</v>
      </c>
      <c r="F368" s="268" t="s">
        <v>89</v>
      </c>
      <c r="G368" s="271">
        <f>G369</f>
        <v>2505.4824399999998</v>
      </c>
      <c r="H368" s="271">
        <f>H369</f>
        <v>2505.4824400000002</v>
      </c>
      <c r="I368" s="337">
        <f t="shared" si="30"/>
        <v>100.00000000000003</v>
      </c>
    </row>
    <row r="369" spans="1:10" ht="31.5" x14ac:dyDescent="0.25">
      <c r="A369" s="335" t="s">
        <v>90</v>
      </c>
      <c r="B369" s="482">
        <v>903</v>
      </c>
      <c r="C369" s="268" t="s">
        <v>145</v>
      </c>
      <c r="D369" s="268" t="s">
        <v>120</v>
      </c>
      <c r="E369" s="268" t="s">
        <v>561</v>
      </c>
      <c r="F369" s="268" t="s">
        <v>91</v>
      </c>
      <c r="G369" s="271">
        <f>2114+0.3+150.7+20-10+19.03295+32.23+13.5-15.41964-12.4+10-5.91-20+46.2-14.07665+3.95365-18.23271-10.595-0.22+23.29964+30-0.40023-7.04657+31.78+124.787</f>
        <v>2505.4824399999998</v>
      </c>
      <c r="H369" s="271">
        <v>2505.4824400000002</v>
      </c>
      <c r="I369" s="337">
        <f t="shared" si="30"/>
        <v>100.00000000000003</v>
      </c>
      <c r="J369" s="341"/>
    </row>
    <row r="370" spans="1:10" ht="15.75" x14ac:dyDescent="0.25">
      <c r="A370" s="335" t="s">
        <v>92</v>
      </c>
      <c r="B370" s="482">
        <v>903</v>
      </c>
      <c r="C370" s="268" t="s">
        <v>145</v>
      </c>
      <c r="D370" s="268" t="s">
        <v>120</v>
      </c>
      <c r="E370" s="268" t="s">
        <v>561</v>
      </c>
      <c r="F370" s="268" t="s">
        <v>98</v>
      </c>
      <c r="G370" s="271">
        <f>G371</f>
        <v>38.103000000000002</v>
      </c>
      <c r="H370" s="271">
        <f>H371</f>
        <v>38.103000000000002</v>
      </c>
      <c r="I370" s="337">
        <f t="shared" si="30"/>
        <v>100</v>
      </c>
      <c r="J370" s="330"/>
    </row>
    <row r="371" spans="1:10" ht="15.75" x14ac:dyDescent="0.25">
      <c r="A371" s="335" t="s">
        <v>258</v>
      </c>
      <c r="B371" s="482">
        <v>903</v>
      </c>
      <c r="C371" s="268" t="s">
        <v>145</v>
      </c>
      <c r="D371" s="268" t="s">
        <v>120</v>
      </c>
      <c r="E371" s="268" t="s">
        <v>561</v>
      </c>
      <c r="F371" s="268" t="s">
        <v>94</v>
      </c>
      <c r="G371" s="271">
        <f>44.1-1-4.997</f>
        <v>38.103000000000002</v>
      </c>
      <c r="H371" s="271">
        <v>38.103000000000002</v>
      </c>
      <c r="I371" s="337">
        <f t="shared" si="30"/>
        <v>100</v>
      </c>
    </row>
    <row r="372" spans="1:10" ht="31.5" x14ac:dyDescent="0.25">
      <c r="A372" s="335" t="s">
        <v>1085</v>
      </c>
      <c r="B372" s="482">
        <v>903</v>
      </c>
      <c r="C372" s="268" t="s">
        <v>145</v>
      </c>
      <c r="D372" s="268" t="s">
        <v>120</v>
      </c>
      <c r="E372" s="268" t="s">
        <v>1082</v>
      </c>
      <c r="F372" s="268"/>
      <c r="G372" s="271">
        <f>G373</f>
        <v>78.12</v>
      </c>
      <c r="H372" s="271">
        <f>H373</f>
        <v>78.12</v>
      </c>
      <c r="I372" s="337">
        <f t="shared" si="30"/>
        <v>100</v>
      </c>
    </row>
    <row r="373" spans="1:10" ht="78.75" x14ac:dyDescent="0.25">
      <c r="A373" s="335" t="s">
        <v>84</v>
      </c>
      <c r="B373" s="482">
        <v>903</v>
      </c>
      <c r="C373" s="268" t="s">
        <v>145</v>
      </c>
      <c r="D373" s="268" t="s">
        <v>120</v>
      </c>
      <c r="E373" s="268" t="s">
        <v>1082</v>
      </c>
      <c r="F373" s="268" t="s">
        <v>85</v>
      </c>
      <c r="G373" s="271">
        <f>G374</f>
        <v>78.12</v>
      </c>
      <c r="H373" s="271">
        <f>H374</f>
        <v>78.12</v>
      </c>
      <c r="I373" s="337">
        <f t="shared" si="30"/>
        <v>100</v>
      </c>
    </row>
    <row r="374" spans="1:10" ht="15.75" x14ac:dyDescent="0.25">
      <c r="A374" s="336" t="s">
        <v>168</v>
      </c>
      <c r="B374" s="482">
        <v>903</v>
      </c>
      <c r="C374" s="268" t="s">
        <v>145</v>
      </c>
      <c r="D374" s="268" t="s">
        <v>120</v>
      </c>
      <c r="E374" s="268" t="s">
        <v>1082</v>
      </c>
      <c r="F374" s="268" t="s">
        <v>117</v>
      </c>
      <c r="G374" s="271">
        <v>78.12</v>
      </c>
      <c r="H374" s="271">
        <v>78.12</v>
      </c>
      <c r="I374" s="337">
        <f t="shared" si="30"/>
        <v>100</v>
      </c>
    </row>
    <row r="375" spans="1:10" ht="44.25" customHeight="1" x14ac:dyDescent="0.25">
      <c r="A375" s="26" t="s">
        <v>1118</v>
      </c>
      <c r="B375" s="482">
        <v>903</v>
      </c>
      <c r="C375" s="268" t="s">
        <v>145</v>
      </c>
      <c r="D375" s="268" t="s">
        <v>120</v>
      </c>
      <c r="E375" s="268" t="s">
        <v>1120</v>
      </c>
      <c r="F375" s="268"/>
      <c r="G375" s="271">
        <f>G376</f>
        <v>128.86000000000001</v>
      </c>
      <c r="H375" s="271">
        <f>H376</f>
        <v>128.86000000000001</v>
      </c>
      <c r="I375" s="337">
        <f t="shared" si="30"/>
        <v>100</v>
      </c>
    </row>
    <row r="376" spans="1:10" ht="65.25" customHeight="1" x14ac:dyDescent="0.25">
      <c r="A376" s="26" t="s">
        <v>84</v>
      </c>
      <c r="B376" s="482">
        <v>903</v>
      </c>
      <c r="C376" s="268" t="s">
        <v>145</v>
      </c>
      <c r="D376" s="268" t="s">
        <v>120</v>
      </c>
      <c r="E376" s="268" t="s">
        <v>1120</v>
      </c>
      <c r="F376" s="268" t="s">
        <v>85</v>
      </c>
      <c r="G376" s="271">
        <f>G377</f>
        <v>128.86000000000001</v>
      </c>
      <c r="H376" s="271">
        <f>H377</f>
        <v>128.86000000000001</v>
      </c>
      <c r="I376" s="337">
        <f t="shared" si="30"/>
        <v>100</v>
      </c>
    </row>
    <row r="377" spans="1:10" ht="15.75" x14ac:dyDescent="0.25">
      <c r="A377" s="26" t="s">
        <v>168</v>
      </c>
      <c r="B377" s="482">
        <v>903</v>
      </c>
      <c r="C377" s="268" t="s">
        <v>145</v>
      </c>
      <c r="D377" s="268" t="s">
        <v>120</v>
      </c>
      <c r="E377" s="268" t="s">
        <v>1120</v>
      </c>
      <c r="F377" s="268" t="s">
        <v>117</v>
      </c>
      <c r="G377" s="271">
        <f>98.97+29.89</f>
        <v>128.86000000000001</v>
      </c>
      <c r="H377" s="271">
        <v>128.86000000000001</v>
      </c>
      <c r="I377" s="337">
        <f t="shared" si="30"/>
        <v>100</v>
      </c>
    </row>
    <row r="378" spans="1:10" ht="47.25" x14ac:dyDescent="0.25">
      <c r="A378" s="26" t="s">
        <v>1107</v>
      </c>
      <c r="B378" s="482">
        <v>903</v>
      </c>
      <c r="C378" s="268" t="s">
        <v>145</v>
      </c>
      <c r="D378" s="268" t="s">
        <v>120</v>
      </c>
      <c r="E378" s="268" t="s">
        <v>1111</v>
      </c>
      <c r="F378" s="268"/>
      <c r="G378" s="271">
        <f>G379</f>
        <v>16.49136</v>
      </c>
      <c r="H378" s="271">
        <f>H379</f>
        <v>16.49136</v>
      </c>
      <c r="I378" s="337">
        <f t="shared" si="30"/>
        <v>100</v>
      </c>
      <c r="J378" s="333"/>
    </row>
    <row r="379" spans="1:10" ht="78.75" x14ac:dyDescent="0.25">
      <c r="A379" s="26" t="s">
        <v>84</v>
      </c>
      <c r="B379" s="482">
        <v>903</v>
      </c>
      <c r="C379" s="268" t="s">
        <v>145</v>
      </c>
      <c r="D379" s="268" t="s">
        <v>120</v>
      </c>
      <c r="E379" s="268" t="s">
        <v>1111</v>
      </c>
      <c r="F379" s="268" t="s">
        <v>85</v>
      </c>
      <c r="G379" s="271">
        <f>G380</f>
        <v>16.49136</v>
      </c>
      <c r="H379" s="271">
        <f>H380</f>
        <v>16.49136</v>
      </c>
      <c r="I379" s="337">
        <f t="shared" si="30"/>
        <v>100</v>
      </c>
      <c r="J379" s="333"/>
    </row>
    <row r="380" spans="1:10" ht="15.75" x14ac:dyDescent="0.25">
      <c r="A380" s="26" t="s">
        <v>168</v>
      </c>
      <c r="B380" s="482">
        <v>903</v>
      </c>
      <c r="C380" s="268" t="s">
        <v>145</v>
      </c>
      <c r="D380" s="268" t="s">
        <v>120</v>
      </c>
      <c r="E380" s="268" t="s">
        <v>1111</v>
      </c>
      <c r="F380" s="268" t="s">
        <v>117</v>
      </c>
      <c r="G380" s="271">
        <f>12.784+3.70736</f>
        <v>16.49136</v>
      </c>
      <c r="H380" s="271">
        <v>16.49136</v>
      </c>
      <c r="I380" s="337">
        <f t="shared" si="30"/>
        <v>100</v>
      </c>
    </row>
    <row r="381" spans="1:10" ht="29.25" customHeight="1" x14ac:dyDescent="0.25">
      <c r="A381" s="213" t="s">
        <v>624</v>
      </c>
      <c r="B381" s="432">
        <v>903</v>
      </c>
      <c r="C381" s="481" t="s">
        <v>145</v>
      </c>
      <c r="D381" s="481" t="s">
        <v>120</v>
      </c>
      <c r="E381" s="481" t="s">
        <v>562</v>
      </c>
      <c r="F381" s="481"/>
      <c r="G381" s="273">
        <f>G382+G385</f>
        <v>143.44499999999999</v>
      </c>
      <c r="H381" s="273">
        <f>H382+H385</f>
        <v>143.44499999999999</v>
      </c>
      <c r="I381" s="338">
        <f t="shared" si="30"/>
        <v>100</v>
      </c>
    </row>
    <row r="382" spans="1:10" ht="15.75" x14ac:dyDescent="0.25">
      <c r="A382" s="26" t="s">
        <v>281</v>
      </c>
      <c r="B382" s="482">
        <v>903</v>
      </c>
      <c r="C382" s="268" t="s">
        <v>145</v>
      </c>
      <c r="D382" s="268" t="s">
        <v>120</v>
      </c>
      <c r="E382" s="268" t="s">
        <v>563</v>
      </c>
      <c r="F382" s="268"/>
      <c r="G382" s="271">
        <f>G383</f>
        <v>45.6</v>
      </c>
      <c r="H382" s="271">
        <f>H383</f>
        <v>45.6</v>
      </c>
      <c r="I382" s="337">
        <f t="shared" si="30"/>
        <v>100</v>
      </c>
    </row>
    <row r="383" spans="1:10" ht="15.75" x14ac:dyDescent="0.25">
      <c r="A383" s="335" t="s">
        <v>137</v>
      </c>
      <c r="B383" s="482">
        <v>903</v>
      </c>
      <c r="C383" s="268" t="s">
        <v>145</v>
      </c>
      <c r="D383" s="268" t="s">
        <v>120</v>
      </c>
      <c r="E383" s="268" t="s">
        <v>563</v>
      </c>
      <c r="F383" s="268" t="s">
        <v>138</v>
      </c>
      <c r="G383" s="271">
        <f>G384</f>
        <v>45.6</v>
      </c>
      <c r="H383" s="271">
        <f>H384</f>
        <v>45.6</v>
      </c>
      <c r="I383" s="337">
        <f t="shared" si="30"/>
        <v>100</v>
      </c>
    </row>
    <row r="384" spans="1:10" ht="25.5" customHeight="1" x14ac:dyDescent="0.25">
      <c r="A384" s="335" t="s">
        <v>294</v>
      </c>
      <c r="B384" s="482">
        <v>903</v>
      </c>
      <c r="C384" s="268" t="s">
        <v>145</v>
      </c>
      <c r="D384" s="268" t="s">
        <v>120</v>
      </c>
      <c r="E384" s="268" t="s">
        <v>563</v>
      </c>
      <c r="F384" s="268" t="s">
        <v>293</v>
      </c>
      <c r="G384" s="271">
        <f>42+3.6</f>
        <v>45.6</v>
      </c>
      <c r="H384" s="271">
        <v>45.6</v>
      </c>
      <c r="I384" s="337">
        <f t="shared" si="30"/>
        <v>100</v>
      </c>
      <c r="J384" s="341"/>
    </row>
    <row r="385" spans="1:10" ht="36" customHeight="1" x14ac:dyDescent="0.25">
      <c r="A385" s="20" t="s">
        <v>1053</v>
      </c>
      <c r="B385" s="482">
        <v>903</v>
      </c>
      <c r="C385" s="268" t="s">
        <v>145</v>
      </c>
      <c r="D385" s="268" t="s">
        <v>120</v>
      </c>
      <c r="E385" s="268" t="s">
        <v>564</v>
      </c>
      <c r="F385" s="268"/>
      <c r="G385" s="271">
        <f>G388+G386</f>
        <v>97.844999999999999</v>
      </c>
      <c r="H385" s="271">
        <f>H388+H386</f>
        <v>97.844999999999999</v>
      </c>
      <c r="I385" s="337">
        <f t="shared" si="30"/>
        <v>100</v>
      </c>
    </row>
    <row r="386" spans="1:10" ht="78.75" x14ac:dyDescent="0.25">
      <c r="A386" s="335" t="s">
        <v>84</v>
      </c>
      <c r="B386" s="482">
        <v>903</v>
      </c>
      <c r="C386" s="268" t="s">
        <v>145</v>
      </c>
      <c r="D386" s="268" t="s">
        <v>120</v>
      </c>
      <c r="E386" s="268" t="s">
        <v>564</v>
      </c>
      <c r="F386" s="268" t="s">
        <v>85</v>
      </c>
      <c r="G386" s="271">
        <f>G387</f>
        <v>97.844999999999999</v>
      </c>
      <c r="H386" s="271">
        <f>H387</f>
        <v>97.844999999999999</v>
      </c>
      <c r="I386" s="337">
        <f t="shared" si="30"/>
        <v>100</v>
      </c>
    </row>
    <row r="387" spans="1:10" ht="24.75" customHeight="1" x14ac:dyDescent="0.25">
      <c r="A387" s="336" t="s">
        <v>168</v>
      </c>
      <c r="B387" s="482">
        <v>903</v>
      </c>
      <c r="C387" s="268" t="s">
        <v>145</v>
      </c>
      <c r="D387" s="268" t="s">
        <v>120</v>
      </c>
      <c r="E387" s="268" t="s">
        <v>564</v>
      </c>
      <c r="F387" s="268" t="s">
        <v>117</v>
      </c>
      <c r="G387" s="271">
        <f>101.4-3.555</f>
        <v>97.844999999999999</v>
      </c>
      <c r="H387" s="271">
        <v>97.844999999999999</v>
      </c>
      <c r="I387" s="337">
        <f t="shared" si="30"/>
        <v>100</v>
      </c>
      <c r="J387" s="341"/>
    </row>
    <row r="388" spans="1:10" ht="30.75" hidden="1" customHeight="1" x14ac:dyDescent="0.25">
      <c r="A388" s="335" t="s">
        <v>88</v>
      </c>
      <c r="B388" s="482">
        <v>903</v>
      </c>
      <c r="C388" s="268" t="s">
        <v>145</v>
      </c>
      <c r="D388" s="268" t="s">
        <v>120</v>
      </c>
      <c r="E388" s="268" t="s">
        <v>564</v>
      </c>
      <c r="F388" s="268" t="s">
        <v>89</v>
      </c>
      <c r="G388" s="271">
        <f>G389</f>
        <v>0</v>
      </c>
      <c r="H388" s="271">
        <f>H389</f>
        <v>0</v>
      </c>
      <c r="I388" s="337" t="e">
        <f t="shared" si="30"/>
        <v>#DIV/0!</v>
      </c>
    </row>
    <row r="389" spans="1:10" ht="39.200000000000003" hidden="1" customHeight="1" x14ac:dyDescent="0.25">
      <c r="A389" s="335" t="s">
        <v>90</v>
      </c>
      <c r="B389" s="482">
        <v>903</v>
      </c>
      <c r="C389" s="268" t="s">
        <v>145</v>
      </c>
      <c r="D389" s="268" t="s">
        <v>120</v>
      </c>
      <c r="E389" s="268" t="s">
        <v>564</v>
      </c>
      <c r="F389" s="268" t="s">
        <v>91</v>
      </c>
      <c r="G389" s="271">
        <v>0</v>
      </c>
      <c r="H389" s="271">
        <v>0</v>
      </c>
      <c r="I389" s="337" t="e">
        <f t="shared" si="30"/>
        <v>#DIV/0!</v>
      </c>
    </row>
    <row r="390" spans="1:10" ht="39.200000000000003" customHeight="1" x14ac:dyDescent="0.25">
      <c r="A390" s="116" t="s">
        <v>380</v>
      </c>
      <c r="B390" s="432">
        <v>903</v>
      </c>
      <c r="C390" s="481" t="s">
        <v>145</v>
      </c>
      <c r="D390" s="481" t="s">
        <v>120</v>
      </c>
      <c r="E390" s="481" t="s">
        <v>565</v>
      </c>
      <c r="F390" s="481"/>
      <c r="G390" s="273">
        <f t="shared" ref="G390:H392" si="37">G391</f>
        <v>465.06704999999999</v>
      </c>
      <c r="H390" s="273">
        <f t="shared" si="37"/>
        <v>465.06704999999999</v>
      </c>
      <c r="I390" s="338">
        <f t="shared" si="30"/>
        <v>100</v>
      </c>
    </row>
    <row r="391" spans="1:10" ht="39.200000000000003" customHeight="1" x14ac:dyDescent="0.25">
      <c r="A391" s="335" t="s">
        <v>304</v>
      </c>
      <c r="B391" s="482">
        <v>903</v>
      </c>
      <c r="C391" s="268" t="s">
        <v>145</v>
      </c>
      <c r="D391" s="268" t="s">
        <v>120</v>
      </c>
      <c r="E391" s="268" t="s">
        <v>566</v>
      </c>
      <c r="F391" s="268"/>
      <c r="G391" s="337">
        <f t="shared" si="37"/>
        <v>465.06704999999999</v>
      </c>
      <c r="H391" s="337">
        <f t="shared" si="37"/>
        <v>465.06704999999999</v>
      </c>
      <c r="I391" s="337">
        <f t="shared" si="30"/>
        <v>100</v>
      </c>
    </row>
    <row r="392" spans="1:10" ht="70.5" customHeight="1" x14ac:dyDescent="0.25">
      <c r="A392" s="335" t="s">
        <v>84</v>
      </c>
      <c r="B392" s="482">
        <v>903</v>
      </c>
      <c r="C392" s="268" t="s">
        <v>145</v>
      </c>
      <c r="D392" s="268" t="s">
        <v>120</v>
      </c>
      <c r="E392" s="268" t="s">
        <v>566</v>
      </c>
      <c r="F392" s="268" t="s">
        <v>85</v>
      </c>
      <c r="G392" s="337">
        <f t="shared" si="37"/>
        <v>465.06704999999999</v>
      </c>
      <c r="H392" s="337">
        <f t="shared" si="37"/>
        <v>465.06704999999999</v>
      </c>
      <c r="I392" s="337">
        <f t="shared" si="30"/>
        <v>100</v>
      </c>
    </row>
    <row r="393" spans="1:10" ht="19.7" customHeight="1" x14ac:dyDescent="0.25">
      <c r="A393" s="335" t="s">
        <v>168</v>
      </c>
      <c r="B393" s="482">
        <v>903</v>
      </c>
      <c r="C393" s="268" t="s">
        <v>145</v>
      </c>
      <c r="D393" s="268" t="s">
        <v>120</v>
      </c>
      <c r="E393" s="268" t="s">
        <v>566</v>
      </c>
      <c r="F393" s="268" t="s">
        <v>117</v>
      </c>
      <c r="G393" s="337">
        <f>473-0.8-7.13295</f>
        <v>465.06704999999999</v>
      </c>
      <c r="H393" s="337">
        <v>465.06704999999999</v>
      </c>
      <c r="I393" s="337">
        <f t="shared" si="30"/>
        <v>100</v>
      </c>
      <c r="J393" s="341"/>
    </row>
    <row r="394" spans="1:10" ht="48.75" customHeight="1" x14ac:dyDescent="0.25">
      <c r="A394" s="116" t="s">
        <v>349</v>
      </c>
      <c r="B394" s="432">
        <v>903</v>
      </c>
      <c r="C394" s="481" t="s">
        <v>145</v>
      </c>
      <c r="D394" s="481" t="s">
        <v>120</v>
      </c>
      <c r="E394" s="481" t="s">
        <v>567</v>
      </c>
      <c r="F394" s="481"/>
      <c r="G394" s="273">
        <f t="shared" ref="G394:H396" si="38">G395</f>
        <v>1007.3000000000001</v>
      </c>
      <c r="H394" s="273">
        <f t="shared" si="38"/>
        <v>909.72056999999995</v>
      </c>
      <c r="I394" s="338">
        <f t="shared" si="30"/>
        <v>90.312773751613221</v>
      </c>
    </row>
    <row r="395" spans="1:10" ht="47.25" x14ac:dyDescent="0.25">
      <c r="A395" s="335" t="s">
        <v>852</v>
      </c>
      <c r="B395" s="482">
        <v>903</v>
      </c>
      <c r="C395" s="268" t="s">
        <v>145</v>
      </c>
      <c r="D395" s="268" t="s">
        <v>120</v>
      </c>
      <c r="E395" s="268" t="s">
        <v>764</v>
      </c>
      <c r="F395" s="268"/>
      <c r="G395" s="337">
        <f t="shared" si="38"/>
        <v>1007.3000000000001</v>
      </c>
      <c r="H395" s="337">
        <f t="shared" si="38"/>
        <v>909.72056999999995</v>
      </c>
      <c r="I395" s="337">
        <f t="shared" si="30"/>
        <v>90.312773751613221</v>
      </c>
    </row>
    <row r="396" spans="1:10" ht="69.75" customHeight="1" x14ac:dyDescent="0.25">
      <c r="A396" s="335" t="s">
        <v>84</v>
      </c>
      <c r="B396" s="482">
        <v>903</v>
      </c>
      <c r="C396" s="268" t="s">
        <v>145</v>
      </c>
      <c r="D396" s="268" t="s">
        <v>120</v>
      </c>
      <c r="E396" s="268" t="s">
        <v>764</v>
      </c>
      <c r="F396" s="268" t="s">
        <v>85</v>
      </c>
      <c r="G396" s="337">
        <f t="shared" si="38"/>
        <v>1007.3000000000001</v>
      </c>
      <c r="H396" s="337">
        <f t="shared" si="38"/>
        <v>909.72056999999995</v>
      </c>
      <c r="I396" s="337">
        <f t="shared" ref="I396:I459" si="39">H396/G396*100</f>
        <v>90.312773751613221</v>
      </c>
    </row>
    <row r="397" spans="1:10" ht="21.2" customHeight="1" x14ac:dyDescent="0.25">
      <c r="A397" s="26" t="s">
        <v>168</v>
      </c>
      <c r="B397" s="482">
        <v>903</v>
      </c>
      <c r="C397" s="268" t="s">
        <v>145</v>
      </c>
      <c r="D397" s="268" t="s">
        <v>120</v>
      </c>
      <c r="E397" s="268" t="s">
        <v>764</v>
      </c>
      <c r="F397" s="268" t="s">
        <v>117</v>
      </c>
      <c r="G397" s="337">
        <f>598+343.6+65.7</f>
        <v>1007.3000000000001</v>
      </c>
      <c r="H397" s="337">
        <v>909.72056999999995</v>
      </c>
      <c r="I397" s="337">
        <f t="shared" si="39"/>
        <v>90.312773751613221</v>
      </c>
    </row>
    <row r="398" spans="1:10" ht="50.25" customHeight="1" x14ac:dyDescent="0.25">
      <c r="A398" s="22" t="s">
        <v>894</v>
      </c>
      <c r="B398" s="432">
        <v>903</v>
      </c>
      <c r="C398" s="481" t="s">
        <v>145</v>
      </c>
      <c r="D398" s="481" t="s">
        <v>120</v>
      </c>
      <c r="E398" s="481" t="s">
        <v>162</v>
      </c>
      <c r="F398" s="481"/>
      <c r="G398" s="338">
        <f>G400</f>
        <v>59.94</v>
      </c>
      <c r="H398" s="338">
        <f>H400</f>
        <v>59.94</v>
      </c>
      <c r="I398" s="338">
        <f t="shared" si="39"/>
        <v>100</v>
      </c>
    </row>
    <row r="399" spans="1:10" ht="49.7" customHeight="1" x14ac:dyDescent="0.25">
      <c r="A399" s="22" t="s">
        <v>452</v>
      </c>
      <c r="B399" s="432">
        <v>903</v>
      </c>
      <c r="C399" s="481" t="s">
        <v>145</v>
      </c>
      <c r="D399" s="481" t="s">
        <v>120</v>
      </c>
      <c r="E399" s="481" t="s">
        <v>372</v>
      </c>
      <c r="F399" s="481"/>
      <c r="G399" s="338">
        <f>G402</f>
        <v>59.94</v>
      </c>
      <c r="H399" s="338">
        <f>H402</f>
        <v>59.94</v>
      </c>
      <c r="I399" s="338">
        <f t="shared" si="39"/>
        <v>100</v>
      </c>
    </row>
    <row r="400" spans="1:10" ht="48.2" customHeight="1" x14ac:dyDescent="0.25">
      <c r="A400" s="20" t="s">
        <v>493</v>
      </c>
      <c r="B400" s="482">
        <v>903</v>
      </c>
      <c r="C400" s="268" t="s">
        <v>145</v>
      </c>
      <c r="D400" s="268" t="s">
        <v>120</v>
      </c>
      <c r="E400" s="268" t="s">
        <v>453</v>
      </c>
      <c r="F400" s="268"/>
      <c r="G400" s="337">
        <f>G401</f>
        <v>59.94</v>
      </c>
      <c r="H400" s="337">
        <f>H401</f>
        <v>59.94</v>
      </c>
      <c r="I400" s="337">
        <f t="shared" si="39"/>
        <v>100</v>
      </c>
    </row>
    <row r="401" spans="1:10" ht="31.9" customHeight="1" x14ac:dyDescent="0.25">
      <c r="A401" s="335" t="s">
        <v>88</v>
      </c>
      <c r="B401" s="482">
        <v>903</v>
      </c>
      <c r="C401" s="268" t="s">
        <v>145</v>
      </c>
      <c r="D401" s="268" t="s">
        <v>120</v>
      </c>
      <c r="E401" s="268" t="s">
        <v>453</v>
      </c>
      <c r="F401" s="268" t="s">
        <v>89</v>
      </c>
      <c r="G401" s="337">
        <f>G402</f>
        <v>59.94</v>
      </c>
      <c r="H401" s="337">
        <f>H402</f>
        <v>59.94</v>
      </c>
      <c r="I401" s="337">
        <f t="shared" si="39"/>
        <v>100</v>
      </c>
    </row>
    <row r="402" spans="1:10" ht="34.700000000000003" customHeight="1" x14ac:dyDescent="0.25">
      <c r="A402" s="335" t="s">
        <v>90</v>
      </c>
      <c r="B402" s="482">
        <v>903</v>
      </c>
      <c r="C402" s="268" t="s">
        <v>145</v>
      </c>
      <c r="D402" s="268" t="s">
        <v>120</v>
      </c>
      <c r="E402" s="268" t="s">
        <v>453</v>
      </c>
      <c r="F402" s="268" t="s">
        <v>91</v>
      </c>
      <c r="G402" s="337">
        <f>60-0.06</f>
        <v>59.94</v>
      </c>
      <c r="H402" s="337">
        <v>59.94</v>
      </c>
      <c r="I402" s="337">
        <f t="shared" si="39"/>
        <v>100</v>
      </c>
      <c r="J402" s="341"/>
    </row>
    <row r="403" spans="1:10" ht="51" customHeight="1" x14ac:dyDescent="0.25">
      <c r="A403" s="130" t="s">
        <v>999</v>
      </c>
      <c r="B403" s="432">
        <v>903</v>
      </c>
      <c r="C403" s="481" t="s">
        <v>145</v>
      </c>
      <c r="D403" s="481" t="s">
        <v>120</v>
      </c>
      <c r="E403" s="481" t="s">
        <v>259</v>
      </c>
      <c r="F403" s="481"/>
      <c r="G403" s="338">
        <f>G405</f>
        <v>315.72247999999996</v>
      </c>
      <c r="H403" s="338">
        <f>H405</f>
        <v>315.72248000000002</v>
      </c>
      <c r="I403" s="338">
        <f t="shared" si="39"/>
        <v>100.00000000000003</v>
      </c>
    </row>
    <row r="404" spans="1:10" ht="48.75" customHeight="1" x14ac:dyDescent="0.25">
      <c r="A404" s="130" t="s">
        <v>341</v>
      </c>
      <c r="B404" s="432">
        <v>903</v>
      </c>
      <c r="C404" s="481" t="s">
        <v>145</v>
      </c>
      <c r="D404" s="481" t="s">
        <v>120</v>
      </c>
      <c r="E404" s="481" t="s">
        <v>339</v>
      </c>
      <c r="F404" s="481"/>
      <c r="G404" s="338">
        <f t="shared" ref="G404:H406" si="40">G405</f>
        <v>315.72247999999996</v>
      </c>
      <c r="H404" s="338">
        <f t="shared" si="40"/>
        <v>315.72248000000002</v>
      </c>
      <c r="I404" s="338">
        <f t="shared" si="39"/>
        <v>100.00000000000003</v>
      </c>
    </row>
    <row r="405" spans="1:10" ht="32.25" customHeight="1" x14ac:dyDescent="0.25">
      <c r="A405" s="26" t="s">
        <v>433</v>
      </c>
      <c r="B405" s="268" t="s">
        <v>237</v>
      </c>
      <c r="C405" s="268" t="s">
        <v>145</v>
      </c>
      <c r="D405" s="268" t="s">
        <v>120</v>
      </c>
      <c r="E405" s="268" t="s">
        <v>340</v>
      </c>
      <c r="F405" s="487"/>
      <c r="G405" s="337">
        <f t="shared" si="40"/>
        <v>315.72247999999996</v>
      </c>
      <c r="H405" s="337">
        <f t="shared" si="40"/>
        <v>315.72248000000002</v>
      </c>
      <c r="I405" s="337">
        <f t="shared" si="39"/>
        <v>100.00000000000003</v>
      </c>
    </row>
    <row r="406" spans="1:10" ht="33" customHeight="1" x14ac:dyDescent="0.25">
      <c r="A406" s="335" t="s">
        <v>88</v>
      </c>
      <c r="B406" s="482">
        <v>903</v>
      </c>
      <c r="C406" s="268" t="s">
        <v>145</v>
      </c>
      <c r="D406" s="268" t="s">
        <v>120</v>
      </c>
      <c r="E406" s="268" t="s">
        <v>340</v>
      </c>
      <c r="F406" s="487" t="s">
        <v>89</v>
      </c>
      <c r="G406" s="337">
        <f t="shared" si="40"/>
        <v>315.72247999999996</v>
      </c>
      <c r="H406" s="337">
        <f t="shared" si="40"/>
        <v>315.72248000000002</v>
      </c>
      <c r="I406" s="337">
        <f t="shared" si="39"/>
        <v>100.00000000000003</v>
      </c>
    </row>
    <row r="407" spans="1:10" ht="34.5" customHeight="1" x14ac:dyDescent="0.25">
      <c r="A407" s="335" t="s">
        <v>90</v>
      </c>
      <c r="B407" s="482">
        <v>903</v>
      </c>
      <c r="C407" s="268" t="s">
        <v>145</v>
      </c>
      <c r="D407" s="268" t="s">
        <v>120</v>
      </c>
      <c r="E407" s="268" t="s">
        <v>340</v>
      </c>
      <c r="F407" s="487" t="s">
        <v>91</v>
      </c>
      <c r="G407" s="337">
        <f>320.4-4.67752</f>
        <v>315.72247999999996</v>
      </c>
      <c r="H407" s="337">
        <v>315.72248000000002</v>
      </c>
      <c r="I407" s="337">
        <f t="shared" si="39"/>
        <v>100.00000000000003</v>
      </c>
      <c r="J407" s="341"/>
    </row>
    <row r="408" spans="1:10" ht="19.5" customHeight="1" x14ac:dyDescent="0.25">
      <c r="A408" s="116" t="s">
        <v>1009</v>
      </c>
      <c r="B408" s="432">
        <v>903</v>
      </c>
      <c r="C408" s="481" t="s">
        <v>145</v>
      </c>
      <c r="D408" s="481" t="s">
        <v>145</v>
      </c>
      <c r="E408" s="268"/>
      <c r="F408" s="268"/>
      <c r="G408" s="338">
        <f>G409</f>
        <v>1382.11598</v>
      </c>
      <c r="H408" s="338">
        <f>H409</f>
        <v>1382.11598</v>
      </c>
      <c r="I408" s="338">
        <f t="shared" si="39"/>
        <v>100</v>
      </c>
    </row>
    <row r="409" spans="1:10" ht="50.25" customHeight="1" x14ac:dyDescent="0.25">
      <c r="A409" s="116" t="s">
        <v>882</v>
      </c>
      <c r="B409" s="432">
        <v>903</v>
      </c>
      <c r="C409" s="481" t="s">
        <v>145</v>
      </c>
      <c r="D409" s="481" t="s">
        <v>145</v>
      </c>
      <c r="E409" s="481" t="s">
        <v>169</v>
      </c>
      <c r="F409" s="481"/>
      <c r="G409" s="338">
        <f>G410</f>
        <v>1382.11598</v>
      </c>
      <c r="H409" s="338">
        <f>H410</f>
        <v>1382.11598</v>
      </c>
      <c r="I409" s="338">
        <f t="shared" si="39"/>
        <v>100</v>
      </c>
    </row>
    <row r="410" spans="1:10" ht="32.25" customHeight="1" x14ac:dyDescent="0.25">
      <c r="A410" s="116" t="s">
        <v>170</v>
      </c>
      <c r="B410" s="432">
        <v>903</v>
      </c>
      <c r="C410" s="481" t="s">
        <v>145</v>
      </c>
      <c r="D410" s="481" t="s">
        <v>145</v>
      </c>
      <c r="E410" s="481" t="s">
        <v>171</v>
      </c>
      <c r="F410" s="481"/>
      <c r="G410" s="338">
        <f>G411+G421+G427</f>
        <v>1382.11598</v>
      </c>
      <c r="H410" s="338">
        <f>H411+H421+H427</f>
        <v>1382.11598</v>
      </c>
      <c r="I410" s="338">
        <f t="shared" si="39"/>
        <v>100</v>
      </c>
    </row>
    <row r="411" spans="1:10" ht="48.75" customHeight="1" x14ac:dyDescent="0.25">
      <c r="A411" s="30" t="s">
        <v>454</v>
      </c>
      <c r="B411" s="432">
        <v>903</v>
      </c>
      <c r="C411" s="481" t="s">
        <v>145</v>
      </c>
      <c r="D411" s="481" t="s">
        <v>145</v>
      </c>
      <c r="E411" s="481" t="s">
        <v>343</v>
      </c>
      <c r="F411" s="481"/>
      <c r="G411" s="338">
        <f>G412+G415+G418</f>
        <v>939.52377999999999</v>
      </c>
      <c r="H411" s="338">
        <f>H412+H415+H418</f>
        <v>939.52377999999999</v>
      </c>
      <c r="I411" s="338">
        <f t="shared" si="39"/>
        <v>100</v>
      </c>
    </row>
    <row r="412" spans="1:10" ht="29.25" hidden="1" customHeight="1" x14ac:dyDescent="0.25">
      <c r="A412" s="26" t="s">
        <v>460</v>
      </c>
      <c r="B412" s="482">
        <v>903</v>
      </c>
      <c r="C412" s="268" t="s">
        <v>145</v>
      </c>
      <c r="D412" s="268" t="s">
        <v>145</v>
      </c>
      <c r="E412" s="268" t="s">
        <v>344</v>
      </c>
      <c r="F412" s="268"/>
      <c r="G412" s="337">
        <f>G413</f>
        <v>0</v>
      </c>
      <c r="H412" s="337">
        <f>H413</f>
        <v>0</v>
      </c>
      <c r="I412" s="337" t="e">
        <f t="shared" si="39"/>
        <v>#DIV/0!</v>
      </c>
    </row>
    <row r="413" spans="1:10" ht="66.599999999999994" hidden="1" customHeight="1" x14ac:dyDescent="0.25">
      <c r="A413" s="335" t="s">
        <v>84</v>
      </c>
      <c r="B413" s="482">
        <v>903</v>
      </c>
      <c r="C413" s="268" t="s">
        <v>145</v>
      </c>
      <c r="D413" s="268" t="s">
        <v>145</v>
      </c>
      <c r="E413" s="268" t="s">
        <v>344</v>
      </c>
      <c r="F413" s="268" t="s">
        <v>85</v>
      </c>
      <c r="G413" s="337">
        <f>G414</f>
        <v>0</v>
      </c>
      <c r="H413" s="337">
        <f>H414</f>
        <v>0</v>
      </c>
      <c r="I413" s="337" t="e">
        <f t="shared" si="39"/>
        <v>#DIV/0!</v>
      </c>
    </row>
    <row r="414" spans="1:10" ht="18" hidden="1" customHeight="1" x14ac:dyDescent="0.25">
      <c r="A414" s="335" t="s">
        <v>168</v>
      </c>
      <c r="B414" s="482">
        <v>903</v>
      </c>
      <c r="C414" s="268" t="s">
        <v>145</v>
      </c>
      <c r="D414" s="268" t="s">
        <v>145</v>
      </c>
      <c r="E414" s="268" t="s">
        <v>344</v>
      </c>
      <c r="F414" s="268" t="s">
        <v>117</v>
      </c>
      <c r="G414" s="337">
        <f>280+624.239-904.239</f>
        <v>0</v>
      </c>
      <c r="H414" s="337">
        <f>280+624.239-904.239</f>
        <v>0</v>
      </c>
      <c r="I414" s="337" t="e">
        <f t="shared" si="39"/>
        <v>#DIV/0!</v>
      </c>
    </row>
    <row r="415" spans="1:10" ht="19.5" hidden="1" customHeight="1" x14ac:dyDescent="0.25">
      <c r="A415" s="335" t="s">
        <v>455</v>
      </c>
      <c r="B415" s="482">
        <v>903</v>
      </c>
      <c r="C415" s="268" t="s">
        <v>145</v>
      </c>
      <c r="D415" s="268" t="s">
        <v>145</v>
      </c>
      <c r="E415" s="268" t="s">
        <v>469</v>
      </c>
      <c r="F415" s="268"/>
      <c r="G415" s="337">
        <f>G416</f>
        <v>0</v>
      </c>
      <c r="H415" s="337">
        <f>H416</f>
        <v>0</v>
      </c>
      <c r="I415" s="337" t="e">
        <f t="shared" si="39"/>
        <v>#DIV/0!</v>
      </c>
    </row>
    <row r="416" spans="1:10" ht="32.25" hidden="1" customHeight="1" x14ac:dyDescent="0.25">
      <c r="A416" s="335" t="s">
        <v>88</v>
      </c>
      <c r="B416" s="482">
        <v>903</v>
      </c>
      <c r="C416" s="268" t="s">
        <v>145</v>
      </c>
      <c r="D416" s="268" t="s">
        <v>145</v>
      </c>
      <c r="E416" s="268" t="s">
        <v>469</v>
      </c>
      <c r="F416" s="268" t="s">
        <v>89</v>
      </c>
      <c r="G416" s="337">
        <f>G417</f>
        <v>0</v>
      </c>
      <c r="H416" s="337">
        <f>H417</f>
        <v>0</v>
      </c>
      <c r="I416" s="337" t="e">
        <f t="shared" si="39"/>
        <v>#DIV/0!</v>
      </c>
    </row>
    <row r="417" spans="1:10" ht="37.5" hidden="1" customHeight="1" x14ac:dyDescent="0.25">
      <c r="A417" s="335" t="s">
        <v>90</v>
      </c>
      <c r="B417" s="482">
        <v>903</v>
      </c>
      <c r="C417" s="268" t="s">
        <v>145</v>
      </c>
      <c r="D417" s="268" t="s">
        <v>145</v>
      </c>
      <c r="E417" s="268" t="s">
        <v>469</v>
      </c>
      <c r="F417" s="268" t="s">
        <v>91</v>
      </c>
      <c r="G417" s="337">
        <v>0</v>
      </c>
      <c r="H417" s="337">
        <v>0</v>
      </c>
      <c r="I417" s="337" t="e">
        <f t="shared" si="39"/>
        <v>#DIV/0!</v>
      </c>
    </row>
    <row r="418" spans="1:10" ht="31.5" x14ac:dyDescent="0.25">
      <c r="A418" s="335" t="s">
        <v>821</v>
      </c>
      <c r="B418" s="482">
        <v>903</v>
      </c>
      <c r="C418" s="268" t="s">
        <v>145</v>
      </c>
      <c r="D418" s="268" t="s">
        <v>145</v>
      </c>
      <c r="E418" s="268" t="s">
        <v>822</v>
      </c>
      <c r="F418" s="268"/>
      <c r="G418" s="337">
        <f>G419</f>
        <v>939.52377999999999</v>
      </c>
      <c r="H418" s="337">
        <f>H419</f>
        <v>939.52377999999999</v>
      </c>
      <c r="I418" s="337">
        <f t="shared" si="39"/>
        <v>100</v>
      </c>
    </row>
    <row r="419" spans="1:10" ht="31.5" x14ac:dyDescent="0.25">
      <c r="A419" s="335" t="s">
        <v>149</v>
      </c>
      <c r="B419" s="482">
        <v>903</v>
      </c>
      <c r="C419" s="268" t="s">
        <v>145</v>
      </c>
      <c r="D419" s="268" t="s">
        <v>145</v>
      </c>
      <c r="E419" s="268" t="s">
        <v>822</v>
      </c>
      <c r="F419" s="268" t="s">
        <v>150</v>
      </c>
      <c r="G419" s="337">
        <f>G420</f>
        <v>939.52377999999999</v>
      </c>
      <c r="H419" s="337">
        <f>H420</f>
        <v>939.52377999999999</v>
      </c>
      <c r="I419" s="337">
        <f t="shared" si="39"/>
        <v>100</v>
      </c>
    </row>
    <row r="420" spans="1:10" ht="27" customHeight="1" x14ac:dyDescent="0.25">
      <c r="A420" s="335" t="s">
        <v>151</v>
      </c>
      <c r="B420" s="482">
        <v>903</v>
      </c>
      <c r="C420" s="268" t="s">
        <v>145</v>
      </c>
      <c r="D420" s="268" t="s">
        <v>145</v>
      </c>
      <c r="E420" s="268" t="s">
        <v>822</v>
      </c>
      <c r="F420" s="268" t="s">
        <v>152</v>
      </c>
      <c r="G420" s="337">
        <f>870-394.19+365.445+110.365-9.28955-2.80667</f>
        <v>939.52377999999999</v>
      </c>
      <c r="H420" s="337">
        <v>939.52377999999999</v>
      </c>
      <c r="I420" s="337">
        <f t="shared" si="39"/>
        <v>100</v>
      </c>
      <c r="J420" s="341"/>
    </row>
    <row r="421" spans="1:10" ht="64.5" customHeight="1" x14ac:dyDescent="0.25">
      <c r="A421" s="116" t="s">
        <v>456</v>
      </c>
      <c r="B421" s="432">
        <v>903</v>
      </c>
      <c r="C421" s="481" t="s">
        <v>145</v>
      </c>
      <c r="D421" s="481" t="s">
        <v>145</v>
      </c>
      <c r="E421" s="481" t="s">
        <v>345</v>
      </c>
      <c r="F421" s="481"/>
      <c r="G421" s="338">
        <f>G422</f>
        <v>417.59219999999993</v>
      </c>
      <c r="H421" s="338">
        <f>H422</f>
        <v>417.59219999999999</v>
      </c>
      <c r="I421" s="338">
        <f t="shared" si="39"/>
        <v>100.00000000000003</v>
      </c>
    </row>
    <row r="422" spans="1:10" ht="15.75" customHeight="1" x14ac:dyDescent="0.25">
      <c r="A422" s="335" t="s">
        <v>457</v>
      </c>
      <c r="B422" s="482">
        <v>903</v>
      </c>
      <c r="C422" s="268" t="s">
        <v>145</v>
      </c>
      <c r="D422" s="268" t="s">
        <v>145</v>
      </c>
      <c r="E422" s="268" t="s">
        <v>350</v>
      </c>
      <c r="F422" s="268"/>
      <c r="G422" s="337">
        <f>G425+G424</f>
        <v>417.59219999999993</v>
      </c>
      <c r="H422" s="337">
        <f>H425+H424</f>
        <v>417.59219999999999</v>
      </c>
      <c r="I422" s="337">
        <f t="shared" si="39"/>
        <v>100.00000000000003</v>
      </c>
    </row>
    <row r="423" spans="1:10" ht="63" customHeight="1" x14ac:dyDescent="0.25">
      <c r="A423" s="335" t="s">
        <v>84</v>
      </c>
      <c r="B423" s="482">
        <v>903</v>
      </c>
      <c r="C423" s="268" t="s">
        <v>145</v>
      </c>
      <c r="D423" s="268" t="s">
        <v>145</v>
      </c>
      <c r="E423" s="268" t="s">
        <v>350</v>
      </c>
      <c r="F423" s="268" t="s">
        <v>85</v>
      </c>
      <c r="G423" s="337">
        <f>G424</f>
        <v>48.75</v>
      </c>
      <c r="H423" s="337">
        <f>H424</f>
        <v>48.75</v>
      </c>
      <c r="I423" s="337">
        <f t="shared" si="39"/>
        <v>100</v>
      </c>
    </row>
    <row r="424" spans="1:10" ht="20.25" customHeight="1" x14ac:dyDescent="0.25">
      <c r="A424" s="335" t="s">
        <v>168</v>
      </c>
      <c r="B424" s="482">
        <v>903</v>
      </c>
      <c r="C424" s="268" t="s">
        <v>145</v>
      </c>
      <c r="D424" s="268" t="s">
        <v>145</v>
      </c>
      <c r="E424" s="268" t="s">
        <v>350</v>
      </c>
      <c r="F424" s="268" t="s">
        <v>117</v>
      </c>
      <c r="G424" s="337">
        <f>36.8+31.22622-0.77622-13.368-5-0.132</f>
        <v>48.75</v>
      </c>
      <c r="H424" s="337">
        <v>48.75</v>
      </c>
      <c r="I424" s="337">
        <f t="shared" si="39"/>
        <v>100</v>
      </c>
    </row>
    <row r="425" spans="1:10" ht="36.75" customHeight="1" x14ac:dyDescent="0.25">
      <c r="A425" s="335" t="s">
        <v>88</v>
      </c>
      <c r="B425" s="482">
        <v>903</v>
      </c>
      <c r="C425" s="268" t="s">
        <v>145</v>
      </c>
      <c r="D425" s="268" t="s">
        <v>145</v>
      </c>
      <c r="E425" s="268" t="s">
        <v>350</v>
      </c>
      <c r="F425" s="268" t="s">
        <v>89</v>
      </c>
      <c r="G425" s="337">
        <f>G426</f>
        <v>368.84219999999993</v>
      </c>
      <c r="H425" s="337">
        <f>H426</f>
        <v>368.84219999999999</v>
      </c>
      <c r="I425" s="337">
        <f t="shared" si="39"/>
        <v>100.00000000000003</v>
      </c>
    </row>
    <row r="426" spans="1:10" ht="39.200000000000003" customHeight="1" x14ac:dyDescent="0.25">
      <c r="A426" s="335" t="s">
        <v>90</v>
      </c>
      <c r="B426" s="482">
        <v>903</v>
      </c>
      <c r="C426" s="268" t="s">
        <v>145</v>
      </c>
      <c r="D426" s="268" t="s">
        <v>145</v>
      </c>
      <c r="E426" s="268" t="s">
        <v>350</v>
      </c>
      <c r="F426" s="268" t="s">
        <v>91</v>
      </c>
      <c r="G426" s="337">
        <f>400-4.4-36.8-30.85843+30+42-42-25.02307+15.47279+38.75091+0.7+5-30+6</f>
        <v>368.84219999999993</v>
      </c>
      <c r="H426" s="337">
        <v>368.84219999999999</v>
      </c>
      <c r="I426" s="337">
        <f t="shared" si="39"/>
        <v>100.00000000000003</v>
      </c>
      <c r="J426" s="341"/>
    </row>
    <row r="427" spans="1:10" ht="35.450000000000003" customHeight="1" x14ac:dyDescent="0.25">
      <c r="A427" s="116" t="s">
        <v>462</v>
      </c>
      <c r="B427" s="432">
        <v>903</v>
      </c>
      <c r="C427" s="481" t="s">
        <v>145</v>
      </c>
      <c r="D427" s="481" t="s">
        <v>145</v>
      </c>
      <c r="E427" s="481" t="s">
        <v>458</v>
      </c>
      <c r="F427" s="481"/>
      <c r="G427" s="338">
        <f t="shared" ref="G427:H428" si="41">G428</f>
        <v>25</v>
      </c>
      <c r="H427" s="338">
        <f t="shared" si="41"/>
        <v>25</v>
      </c>
      <c r="I427" s="338">
        <f t="shared" si="39"/>
        <v>100</v>
      </c>
    </row>
    <row r="428" spans="1:10" ht="39.75" customHeight="1" x14ac:dyDescent="0.25">
      <c r="A428" s="224" t="s">
        <v>459</v>
      </c>
      <c r="B428" s="482">
        <v>903</v>
      </c>
      <c r="C428" s="268" t="s">
        <v>145</v>
      </c>
      <c r="D428" s="268" t="s">
        <v>145</v>
      </c>
      <c r="E428" s="268" t="s">
        <v>470</v>
      </c>
      <c r="F428" s="268"/>
      <c r="G428" s="337">
        <f t="shared" si="41"/>
        <v>25</v>
      </c>
      <c r="H428" s="337">
        <f t="shared" si="41"/>
        <v>25</v>
      </c>
      <c r="I428" s="337">
        <f t="shared" si="39"/>
        <v>100</v>
      </c>
    </row>
    <row r="429" spans="1:10" ht="17.45" customHeight="1" x14ac:dyDescent="0.25">
      <c r="A429" s="335" t="s">
        <v>137</v>
      </c>
      <c r="B429" s="482">
        <v>903</v>
      </c>
      <c r="C429" s="268" t="s">
        <v>145</v>
      </c>
      <c r="D429" s="268" t="s">
        <v>145</v>
      </c>
      <c r="E429" s="268" t="s">
        <v>470</v>
      </c>
      <c r="F429" s="268" t="s">
        <v>138</v>
      </c>
      <c r="G429" s="337">
        <f>G430</f>
        <v>25</v>
      </c>
      <c r="H429" s="337">
        <f>H430</f>
        <v>25</v>
      </c>
      <c r="I429" s="337">
        <f t="shared" si="39"/>
        <v>100</v>
      </c>
    </row>
    <row r="430" spans="1:10" ht="28.5" customHeight="1" x14ac:dyDescent="0.25">
      <c r="A430" s="335" t="s">
        <v>139</v>
      </c>
      <c r="B430" s="482">
        <v>903</v>
      </c>
      <c r="C430" s="268" t="s">
        <v>145</v>
      </c>
      <c r="D430" s="268" t="s">
        <v>145</v>
      </c>
      <c r="E430" s="268" t="s">
        <v>470</v>
      </c>
      <c r="F430" s="268" t="s">
        <v>140</v>
      </c>
      <c r="G430" s="337">
        <v>25</v>
      </c>
      <c r="H430" s="337">
        <v>25</v>
      </c>
      <c r="I430" s="337">
        <f t="shared" si="39"/>
        <v>100</v>
      </c>
    </row>
    <row r="431" spans="1:10" ht="15.75" x14ac:dyDescent="0.25">
      <c r="A431" s="116" t="s">
        <v>158</v>
      </c>
      <c r="B431" s="432">
        <v>903</v>
      </c>
      <c r="C431" s="481" t="s">
        <v>159</v>
      </c>
      <c r="D431" s="481"/>
      <c r="E431" s="481"/>
      <c r="F431" s="481"/>
      <c r="G431" s="338">
        <f>G432+G538</f>
        <v>87745.180500000017</v>
      </c>
      <c r="H431" s="338">
        <f>H432+H538</f>
        <v>87717.674459999995</v>
      </c>
      <c r="I431" s="338">
        <f t="shared" si="39"/>
        <v>99.968652363761421</v>
      </c>
    </row>
    <row r="432" spans="1:10" ht="15.75" x14ac:dyDescent="0.25">
      <c r="A432" s="116" t="s">
        <v>160</v>
      </c>
      <c r="B432" s="432">
        <v>903</v>
      </c>
      <c r="C432" s="481" t="s">
        <v>159</v>
      </c>
      <c r="D432" s="481" t="s">
        <v>81</v>
      </c>
      <c r="E432" s="481"/>
      <c r="F432" s="481"/>
      <c r="G432" s="338">
        <f>G433+G530+G519+G527</f>
        <v>64388.321850000015</v>
      </c>
      <c r="H432" s="338">
        <f>H433+H530+H519+H527</f>
        <v>64360.816369999993</v>
      </c>
      <c r="I432" s="338">
        <f t="shared" si="39"/>
        <v>99.957281880922295</v>
      </c>
      <c r="J432" s="287"/>
    </row>
    <row r="433" spans="1:10" ht="35.450000000000003" customHeight="1" x14ac:dyDescent="0.25">
      <c r="A433" s="116" t="s">
        <v>891</v>
      </c>
      <c r="B433" s="432">
        <v>903</v>
      </c>
      <c r="C433" s="481" t="s">
        <v>159</v>
      </c>
      <c r="D433" s="481" t="s">
        <v>81</v>
      </c>
      <c r="E433" s="481" t="s">
        <v>147</v>
      </c>
      <c r="F433" s="481"/>
      <c r="G433" s="338">
        <f>G434+G453+G468+G478+G487+G491+G506+G513+G502</f>
        <v>63267.983520000016</v>
      </c>
      <c r="H433" s="338">
        <f>H434+H453+H468+H478+H487+H491+H506+H513+H502</f>
        <v>63240.478039999995</v>
      </c>
      <c r="I433" s="338">
        <f t="shared" si="39"/>
        <v>99.956525435979287</v>
      </c>
    </row>
    <row r="434" spans="1:10" ht="30.2" customHeight="1" x14ac:dyDescent="0.25">
      <c r="A434" s="116" t="s">
        <v>621</v>
      </c>
      <c r="B434" s="432">
        <v>903</v>
      </c>
      <c r="C434" s="481" t="s">
        <v>159</v>
      </c>
      <c r="D434" s="481" t="s">
        <v>81</v>
      </c>
      <c r="E434" s="481" t="s">
        <v>560</v>
      </c>
      <c r="F434" s="481"/>
      <c r="G434" s="338">
        <f>G435+G438+G445+G448</f>
        <v>50366.870440000021</v>
      </c>
      <c r="H434" s="338">
        <f>H435+H438+H445+H448</f>
        <v>50366.870439999999</v>
      </c>
      <c r="I434" s="338">
        <f t="shared" si="39"/>
        <v>99.999999999999957</v>
      </c>
    </row>
    <row r="435" spans="1:10" ht="30.2" customHeight="1" x14ac:dyDescent="0.25">
      <c r="A435" s="335" t="s">
        <v>161</v>
      </c>
      <c r="B435" s="482">
        <v>903</v>
      </c>
      <c r="C435" s="268" t="s">
        <v>159</v>
      </c>
      <c r="D435" s="268" t="s">
        <v>81</v>
      </c>
      <c r="E435" s="268" t="s">
        <v>778</v>
      </c>
      <c r="F435" s="268"/>
      <c r="G435" s="337">
        <f>G436</f>
        <v>25751.209830000014</v>
      </c>
      <c r="H435" s="337">
        <f>H436</f>
        <v>25751.20983</v>
      </c>
      <c r="I435" s="337">
        <f t="shared" si="39"/>
        <v>99.999999999999943</v>
      </c>
    </row>
    <row r="436" spans="1:10" ht="30.2" customHeight="1" x14ac:dyDescent="0.25">
      <c r="A436" s="335" t="s">
        <v>149</v>
      </c>
      <c r="B436" s="482">
        <v>903</v>
      </c>
      <c r="C436" s="268" t="s">
        <v>159</v>
      </c>
      <c r="D436" s="268" t="s">
        <v>81</v>
      </c>
      <c r="E436" s="268" t="s">
        <v>778</v>
      </c>
      <c r="F436" s="268" t="s">
        <v>150</v>
      </c>
      <c r="G436" s="337">
        <f>G437</f>
        <v>25751.209830000014</v>
      </c>
      <c r="H436" s="337">
        <f>H437</f>
        <v>25751.20983</v>
      </c>
      <c r="I436" s="337">
        <f t="shared" si="39"/>
        <v>99.999999999999943</v>
      </c>
    </row>
    <row r="437" spans="1:10" ht="24" customHeight="1" x14ac:dyDescent="0.25">
      <c r="A437" s="335" t="s">
        <v>151</v>
      </c>
      <c r="B437" s="482">
        <v>903</v>
      </c>
      <c r="C437" s="268" t="s">
        <v>159</v>
      </c>
      <c r="D437" s="268" t="s">
        <v>81</v>
      </c>
      <c r="E437" s="268" t="s">
        <v>778</v>
      </c>
      <c r="F437" s="268" t="s">
        <v>152</v>
      </c>
      <c r="G437" s="337">
        <f>29459.97-770+20.2-233.3+15.4+60+8.47-2041.7-136+6.3+3.968+56+0.03999+19.13113+2.4-370.6+46.40144+2.9949+286.75641-43.71129-13.13987-0.08392+227.32774+40.5846-0.00016-377.17787-200.37556-547.22071+228.575</f>
        <v>25751.209830000014</v>
      </c>
      <c r="H437" s="337">
        <v>25751.20983</v>
      </c>
      <c r="I437" s="337">
        <f t="shared" si="39"/>
        <v>99.999999999999943</v>
      </c>
      <c r="J437" s="341"/>
    </row>
    <row r="438" spans="1:10" ht="27.75" customHeight="1" x14ac:dyDescent="0.25">
      <c r="A438" s="335" t="s">
        <v>282</v>
      </c>
      <c r="B438" s="482">
        <v>903</v>
      </c>
      <c r="C438" s="268" t="s">
        <v>159</v>
      </c>
      <c r="D438" s="268" t="s">
        <v>81</v>
      </c>
      <c r="E438" s="268" t="s">
        <v>561</v>
      </c>
      <c r="F438" s="268"/>
      <c r="G438" s="337">
        <f>G439+G441+G443</f>
        <v>23049.734610000003</v>
      </c>
      <c r="H438" s="337">
        <f>H439+H441+H443</f>
        <v>23049.73461</v>
      </c>
      <c r="I438" s="337">
        <f t="shared" si="39"/>
        <v>99.999999999999986</v>
      </c>
    </row>
    <row r="439" spans="1:10" ht="46.5" customHeight="1" x14ac:dyDescent="0.25">
      <c r="A439" s="335" t="s">
        <v>84</v>
      </c>
      <c r="B439" s="482">
        <v>903</v>
      </c>
      <c r="C439" s="268" t="s">
        <v>159</v>
      </c>
      <c r="D439" s="268" t="s">
        <v>81</v>
      </c>
      <c r="E439" s="268" t="s">
        <v>561</v>
      </c>
      <c r="F439" s="268" t="s">
        <v>85</v>
      </c>
      <c r="G439" s="337">
        <f>G440</f>
        <v>19108.905240000004</v>
      </c>
      <c r="H439" s="337">
        <f>H440</f>
        <v>19108.90524</v>
      </c>
      <c r="I439" s="337">
        <f t="shared" si="39"/>
        <v>99.999999999999972</v>
      </c>
    </row>
    <row r="440" spans="1:10" ht="21.75" customHeight="1" x14ac:dyDescent="0.25">
      <c r="A440" s="335" t="s">
        <v>116</v>
      </c>
      <c r="B440" s="482">
        <v>903</v>
      </c>
      <c r="C440" s="268" t="s">
        <v>159</v>
      </c>
      <c r="D440" s="268" t="s">
        <v>81</v>
      </c>
      <c r="E440" s="268" t="s">
        <v>561</v>
      </c>
      <c r="F440" s="268" t="s">
        <v>117</v>
      </c>
      <c r="G440" s="271">
        <f>20693.83+7-1017.7-149.3-62.91612-18.99871-345.803+10.535-60+60.00673-7.21182+2.99837-3.53521</f>
        <v>19108.905240000004</v>
      </c>
      <c r="H440" s="271">
        <v>19108.90524</v>
      </c>
      <c r="I440" s="337">
        <f t="shared" si="39"/>
        <v>99.999999999999972</v>
      </c>
    </row>
    <row r="441" spans="1:10" ht="36.75" customHeight="1" x14ac:dyDescent="0.25">
      <c r="A441" s="335" t="s">
        <v>88</v>
      </c>
      <c r="B441" s="482">
        <v>903</v>
      </c>
      <c r="C441" s="268" t="s">
        <v>159</v>
      </c>
      <c r="D441" s="268" t="s">
        <v>81</v>
      </c>
      <c r="E441" s="268" t="s">
        <v>561</v>
      </c>
      <c r="F441" s="268" t="s">
        <v>89</v>
      </c>
      <c r="G441" s="337">
        <f>G442</f>
        <v>3900.6303699999976</v>
      </c>
      <c r="H441" s="337">
        <f>H442</f>
        <v>3900.6303699999999</v>
      </c>
      <c r="I441" s="337">
        <f t="shared" si="39"/>
        <v>100.00000000000007</v>
      </c>
    </row>
    <row r="442" spans="1:10" ht="33" customHeight="1" x14ac:dyDescent="0.25">
      <c r="A442" s="335" t="s">
        <v>90</v>
      </c>
      <c r="B442" s="482">
        <v>903</v>
      </c>
      <c r="C442" s="268" t="s">
        <v>159</v>
      </c>
      <c r="D442" s="268" t="s">
        <v>81</v>
      </c>
      <c r="E442" s="268" t="s">
        <v>561</v>
      </c>
      <c r="F442" s="268" t="s">
        <v>91</v>
      </c>
      <c r="G442" s="271">
        <f>3632.38+2.9+3.1+178.6-136.2+100.8-7-24.148+12.5+5003.99501+448.68-800+40.8-12.2+0.72+11.48+12.92903+4.6+15.07197-532.14-647.8585-679.328-675-100+67.555+2000-63.18708+3.6+3.0332-0.00673+11.08238-42.965+6.223+6.07974-113.58422+0.88358+0.004-93+22.54531+6.5+1.27582-94.49+32.3+2.9-542.27366-1854.406-1370.99177-2.14935+2.494+33.82064-0.428-0.011+23.145</f>
        <v>3900.6303699999976</v>
      </c>
      <c r="H442" s="271">
        <v>3900.6303699999999</v>
      </c>
      <c r="I442" s="337">
        <f t="shared" si="39"/>
        <v>100.00000000000007</v>
      </c>
      <c r="J442" s="341"/>
    </row>
    <row r="443" spans="1:10" ht="18" customHeight="1" x14ac:dyDescent="0.25">
      <c r="A443" s="335" t="s">
        <v>92</v>
      </c>
      <c r="B443" s="482">
        <v>903</v>
      </c>
      <c r="C443" s="268" t="s">
        <v>159</v>
      </c>
      <c r="D443" s="268" t="s">
        <v>81</v>
      </c>
      <c r="E443" s="268" t="s">
        <v>561</v>
      </c>
      <c r="F443" s="268" t="s">
        <v>98</v>
      </c>
      <c r="G443" s="337">
        <f>G444</f>
        <v>40.198999999999998</v>
      </c>
      <c r="H443" s="337">
        <f>H444</f>
        <v>40.198999999999998</v>
      </c>
      <c r="I443" s="337">
        <f t="shared" si="39"/>
        <v>100</v>
      </c>
    </row>
    <row r="444" spans="1:10" ht="15.75" x14ac:dyDescent="0.25">
      <c r="A444" s="335" t="s">
        <v>223</v>
      </c>
      <c r="B444" s="482">
        <v>903</v>
      </c>
      <c r="C444" s="268" t="s">
        <v>159</v>
      </c>
      <c r="D444" s="268" t="s">
        <v>81</v>
      </c>
      <c r="E444" s="268" t="s">
        <v>561</v>
      </c>
      <c r="F444" s="268" t="s">
        <v>94</v>
      </c>
      <c r="G444" s="337">
        <f>72.8-23.601-8-1</f>
        <v>40.198999999999998</v>
      </c>
      <c r="H444" s="337">
        <v>40.198999999999998</v>
      </c>
      <c r="I444" s="337">
        <f t="shared" si="39"/>
        <v>100</v>
      </c>
      <c r="J444" s="341"/>
    </row>
    <row r="445" spans="1:10" ht="31.5" x14ac:dyDescent="0.25">
      <c r="A445" s="335" t="s">
        <v>1085</v>
      </c>
      <c r="B445" s="482">
        <v>903</v>
      </c>
      <c r="C445" s="268" t="s">
        <v>159</v>
      </c>
      <c r="D445" s="268" t="s">
        <v>81</v>
      </c>
      <c r="E445" s="268" t="s">
        <v>1082</v>
      </c>
      <c r="F445" s="268"/>
      <c r="G445" s="337">
        <f>G446</f>
        <v>117.18</v>
      </c>
      <c r="H445" s="337">
        <f>H446</f>
        <v>117.18</v>
      </c>
      <c r="I445" s="337">
        <f t="shared" si="39"/>
        <v>100</v>
      </c>
      <c r="J445" s="341"/>
    </row>
    <row r="446" spans="1:10" ht="31.5" x14ac:dyDescent="0.25">
      <c r="A446" s="335" t="s">
        <v>149</v>
      </c>
      <c r="B446" s="482">
        <v>903</v>
      </c>
      <c r="C446" s="268" t="s">
        <v>159</v>
      </c>
      <c r="D446" s="268" t="s">
        <v>81</v>
      </c>
      <c r="E446" s="268" t="s">
        <v>1082</v>
      </c>
      <c r="F446" s="268" t="s">
        <v>150</v>
      </c>
      <c r="G446" s="337">
        <f>G447</f>
        <v>117.18</v>
      </c>
      <c r="H446" s="337">
        <f>H447</f>
        <v>117.18</v>
      </c>
      <c r="I446" s="337">
        <f t="shared" si="39"/>
        <v>100</v>
      </c>
      <c r="J446" s="341"/>
    </row>
    <row r="447" spans="1:10" ht="15.75" x14ac:dyDescent="0.25">
      <c r="A447" s="335" t="s">
        <v>151</v>
      </c>
      <c r="B447" s="482">
        <v>903</v>
      </c>
      <c r="C447" s="268" t="s">
        <v>159</v>
      </c>
      <c r="D447" s="268" t="s">
        <v>81</v>
      </c>
      <c r="E447" s="268" t="s">
        <v>1082</v>
      </c>
      <c r="F447" s="268" t="s">
        <v>152</v>
      </c>
      <c r="G447" s="337">
        <v>117.18</v>
      </c>
      <c r="H447" s="337">
        <v>117.18</v>
      </c>
      <c r="I447" s="337">
        <f t="shared" si="39"/>
        <v>100</v>
      </c>
      <c r="J447" s="341"/>
    </row>
    <row r="448" spans="1:10" ht="31.5" x14ac:dyDescent="0.25">
      <c r="A448" s="444" t="s">
        <v>1118</v>
      </c>
      <c r="B448" s="482">
        <v>903</v>
      </c>
      <c r="C448" s="268" t="s">
        <v>159</v>
      </c>
      <c r="D448" s="268" t="s">
        <v>81</v>
      </c>
      <c r="E448" s="268" t="s">
        <v>1120</v>
      </c>
      <c r="F448" s="268"/>
      <c r="G448" s="337">
        <f>G451+G449</f>
        <v>1448.7460000000001</v>
      </c>
      <c r="H448" s="337">
        <f>H451+H449</f>
        <v>1448.7460000000001</v>
      </c>
      <c r="I448" s="337">
        <f t="shared" si="39"/>
        <v>100</v>
      </c>
      <c r="J448" s="341"/>
    </row>
    <row r="449" spans="1:10" ht="45.75" hidden="1" customHeight="1" x14ac:dyDescent="0.25">
      <c r="A449" s="444" t="s">
        <v>84</v>
      </c>
      <c r="B449" s="482">
        <v>903</v>
      </c>
      <c r="C449" s="268" t="s">
        <v>159</v>
      </c>
      <c r="D449" s="268" t="s">
        <v>81</v>
      </c>
      <c r="E449" s="268" t="s">
        <v>1120</v>
      </c>
      <c r="F449" s="268" t="s">
        <v>85</v>
      </c>
      <c r="G449" s="337">
        <f>G450</f>
        <v>0</v>
      </c>
      <c r="H449" s="337">
        <f>H450</f>
        <v>0</v>
      </c>
      <c r="I449" s="337" t="e">
        <f t="shared" si="39"/>
        <v>#DIV/0!</v>
      </c>
      <c r="J449" s="341"/>
    </row>
    <row r="450" spans="1:10" ht="15.75" hidden="1" x14ac:dyDescent="0.25">
      <c r="A450" s="444" t="s">
        <v>116</v>
      </c>
      <c r="B450" s="482">
        <v>903</v>
      </c>
      <c r="C450" s="268" t="s">
        <v>159</v>
      </c>
      <c r="D450" s="268" t="s">
        <v>81</v>
      </c>
      <c r="E450" s="268" t="s">
        <v>1120</v>
      </c>
      <c r="F450" s="268" t="s">
        <v>117</v>
      </c>
      <c r="G450" s="337">
        <v>0</v>
      </c>
      <c r="H450" s="337">
        <v>0</v>
      </c>
      <c r="I450" s="337" t="e">
        <f t="shared" si="39"/>
        <v>#DIV/0!</v>
      </c>
      <c r="J450" s="341"/>
    </row>
    <row r="451" spans="1:10" ht="31.5" x14ac:dyDescent="0.25">
      <c r="A451" s="444" t="s">
        <v>149</v>
      </c>
      <c r="B451" s="482">
        <v>903</v>
      </c>
      <c r="C451" s="268" t="s">
        <v>159</v>
      </c>
      <c r="D451" s="268" t="s">
        <v>81</v>
      </c>
      <c r="E451" s="268" t="s">
        <v>1120</v>
      </c>
      <c r="F451" s="268" t="s">
        <v>150</v>
      </c>
      <c r="G451" s="337">
        <f>G452</f>
        <v>1448.7460000000001</v>
      </c>
      <c r="H451" s="337">
        <f>H452</f>
        <v>1448.7460000000001</v>
      </c>
      <c r="I451" s="337">
        <f t="shared" si="39"/>
        <v>100</v>
      </c>
      <c r="J451" s="341"/>
    </row>
    <row r="452" spans="1:10" ht="15.75" x14ac:dyDescent="0.25">
      <c r="A452" s="444" t="s">
        <v>151</v>
      </c>
      <c r="B452" s="482">
        <v>903</v>
      </c>
      <c r="C452" s="268" t="s">
        <v>159</v>
      </c>
      <c r="D452" s="268" t="s">
        <v>81</v>
      </c>
      <c r="E452" s="268" t="s">
        <v>1120</v>
      </c>
      <c r="F452" s="268" t="s">
        <v>152</v>
      </c>
      <c r="G452" s="337">
        <f>1000+400+37.48+11.266</f>
        <v>1448.7460000000001</v>
      </c>
      <c r="H452" s="337">
        <v>1448.7460000000001</v>
      </c>
      <c r="I452" s="337">
        <f t="shared" si="39"/>
        <v>100</v>
      </c>
    </row>
    <row r="453" spans="1:10" ht="31.5" x14ac:dyDescent="0.25">
      <c r="A453" s="315" t="s">
        <v>623</v>
      </c>
      <c r="B453" s="432">
        <v>903</v>
      </c>
      <c r="C453" s="481" t="s">
        <v>159</v>
      </c>
      <c r="D453" s="481" t="s">
        <v>81</v>
      </c>
      <c r="E453" s="481" t="s">
        <v>562</v>
      </c>
      <c r="F453" s="481"/>
      <c r="G453" s="338">
        <f>G454+G459+G462+G465</f>
        <v>3005.7371199999998</v>
      </c>
      <c r="H453" s="338">
        <f>H454+H459+H462+H465</f>
        <v>3005.7371199999998</v>
      </c>
      <c r="I453" s="338">
        <f t="shared" si="39"/>
        <v>100</v>
      </c>
    </row>
    <row r="454" spans="1:10" ht="31.5" hidden="1" x14ac:dyDescent="0.25">
      <c r="A454" s="20" t="s">
        <v>290</v>
      </c>
      <c r="B454" s="482">
        <v>903</v>
      </c>
      <c r="C454" s="268" t="s">
        <v>159</v>
      </c>
      <c r="D454" s="268" t="s">
        <v>81</v>
      </c>
      <c r="E454" s="268" t="s">
        <v>564</v>
      </c>
      <c r="F454" s="268"/>
      <c r="G454" s="271">
        <f>G457+G455</f>
        <v>0</v>
      </c>
      <c r="H454" s="271">
        <f>H457+H455</f>
        <v>0</v>
      </c>
      <c r="I454" s="337" t="e">
        <f t="shared" si="39"/>
        <v>#DIV/0!</v>
      </c>
    </row>
    <row r="455" spans="1:10" ht="78.75" hidden="1" x14ac:dyDescent="0.25">
      <c r="A455" s="335" t="s">
        <v>84</v>
      </c>
      <c r="B455" s="482">
        <v>903</v>
      </c>
      <c r="C455" s="268" t="s">
        <v>159</v>
      </c>
      <c r="D455" s="268" t="s">
        <v>81</v>
      </c>
      <c r="E455" s="268" t="s">
        <v>564</v>
      </c>
      <c r="F455" s="268" t="s">
        <v>85</v>
      </c>
      <c r="G455" s="271">
        <f>G456</f>
        <v>0</v>
      </c>
      <c r="H455" s="271">
        <f>H456</f>
        <v>0</v>
      </c>
      <c r="I455" s="337" t="e">
        <f t="shared" si="39"/>
        <v>#DIV/0!</v>
      </c>
    </row>
    <row r="456" spans="1:10" ht="15.75" hidden="1" x14ac:dyDescent="0.25">
      <c r="A456" s="335" t="s">
        <v>116</v>
      </c>
      <c r="B456" s="482">
        <v>903</v>
      </c>
      <c r="C456" s="268" t="s">
        <v>159</v>
      </c>
      <c r="D456" s="268" t="s">
        <v>81</v>
      </c>
      <c r="E456" s="268" t="s">
        <v>564</v>
      </c>
      <c r="F456" s="268" t="s">
        <v>117</v>
      </c>
      <c r="G456" s="271">
        <f>280-280</f>
        <v>0</v>
      </c>
      <c r="H456" s="271">
        <f>280-280</f>
        <v>0</v>
      </c>
      <c r="I456" s="337" t="e">
        <f t="shared" si="39"/>
        <v>#DIV/0!</v>
      </c>
    </row>
    <row r="457" spans="1:10" ht="31.5" hidden="1" x14ac:dyDescent="0.25">
      <c r="A457" s="335" t="s">
        <v>88</v>
      </c>
      <c r="B457" s="482">
        <v>903</v>
      </c>
      <c r="C457" s="268" t="s">
        <v>159</v>
      </c>
      <c r="D457" s="268" t="s">
        <v>81</v>
      </c>
      <c r="E457" s="268" t="s">
        <v>564</v>
      </c>
      <c r="F457" s="268" t="s">
        <v>89</v>
      </c>
      <c r="G457" s="271">
        <f>G458</f>
        <v>0</v>
      </c>
      <c r="H457" s="271">
        <f>H458</f>
        <v>0</v>
      </c>
      <c r="I457" s="337" t="e">
        <f t="shared" si="39"/>
        <v>#DIV/0!</v>
      </c>
    </row>
    <row r="458" spans="1:10" ht="31.5" hidden="1" x14ac:dyDescent="0.25">
      <c r="A458" s="335" t="s">
        <v>90</v>
      </c>
      <c r="B458" s="482">
        <v>903</v>
      </c>
      <c r="C458" s="268" t="s">
        <v>159</v>
      </c>
      <c r="D458" s="268" t="s">
        <v>81</v>
      </c>
      <c r="E458" s="268" t="s">
        <v>564</v>
      </c>
      <c r="F458" s="268" t="s">
        <v>91</v>
      </c>
      <c r="G458" s="271"/>
      <c r="H458" s="271"/>
      <c r="I458" s="337" t="e">
        <f t="shared" si="39"/>
        <v>#DIV/0!</v>
      </c>
    </row>
    <row r="459" spans="1:10" ht="31.5" x14ac:dyDescent="0.25">
      <c r="A459" s="335" t="s">
        <v>779</v>
      </c>
      <c r="B459" s="482">
        <v>903</v>
      </c>
      <c r="C459" s="268" t="s">
        <v>159</v>
      </c>
      <c r="D459" s="268" t="s">
        <v>81</v>
      </c>
      <c r="E459" s="268" t="s">
        <v>780</v>
      </c>
      <c r="F459" s="268"/>
      <c r="G459" s="271">
        <f>G460</f>
        <v>1369.8105</v>
      </c>
      <c r="H459" s="271">
        <f>H460</f>
        <v>1369.8105</v>
      </c>
      <c r="I459" s="337">
        <f t="shared" si="39"/>
        <v>100</v>
      </c>
    </row>
    <row r="460" spans="1:10" ht="31.5" x14ac:dyDescent="0.25">
      <c r="A460" s="335" t="s">
        <v>149</v>
      </c>
      <c r="B460" s="482">
        <v>903</v>
      </c>
      <c r="C460" s="268" t="s">
        <v>159</v>
      </c>
      <c r="D460" s="268" t="s">
        <v>81</v>
      </c>
      <c r="E460" s="268" t="s">
        <v>780</v>
      </c>
      <c r="F460" s="268" t="s">
        <v>150</v>
      </c>
      <c r="G460" s="271">
        <f>G461</f>
        <v>1369.8105</v>
      </c>
      <c r="H460" s="271">
        <f>H461</f>
        <v>1369.8105</v>
      </c>
      <c r="I460" s="337">
        <f t="shared" ref="I460:I523" si="42">H460/G460*100</f>
        <v>100</v>
      </c>
    </row>
    <row r="461" spans="1:10" ht="27.75" customHeight="1" x14ac:dyDescent="0.25">
      <c r="A461" s="335" t="s">
        <v>151</v>
      </c>
      <c r="B461" s="482">
        <v>903</v>
      </c>
      <c r="C461" s="268" t="s">
        <v>159</v>
      </c>
      <c r="D461" s="268" t="s">
        <v>81</v>
      </c>
      <c r="E461" s="268" t="s">
        <v>780</v>
      </c>
      <c r="F461" s="268" t="s">
        <v>152</v>
      </c>
      <c r="G461" s="271">
        <f>29.5+121+50.42-3.968+56-56+415+647.8585+525-415</f>
        <v>1369.8105</v>
      </c>
      <c r="H461" s="271">
        <v>1369.8105</v>
      </c>
      <c r="I461" s="337">
        <f t="shared" si="42"/>
        <v>100</v>
      </c>
    </row>
    <row r="462" spans="1:10" ht="31.5" hidden="1" x14ac:dyDescent="0.25">
      <c r="A462" s="335" t="s">
        <v>153</v>
      </c>
      <c r="B462" s="482">
        <v>903</v>
      </c>
      <c r="C462" s="268" t="s">
        <v>159</v>
      </c>
      <c r="D462" s="268" t="s">
        <v>81</v>
      </c>
      <c r="E462" s="268" t="s">
        <v>823</v>
      </c>
      <c r="F462" s="268"/>
      <c r="G462" s="337">
        <f>G463</f>
        <v>0</v>
      </c>
      <c r="H462" s="337">
        <f>H463</f>
        <v>0</v>
      </c>
      <c r="I462" s="337" t="e">
        <f t="shared" si="42"/>
        <v>#DIV/0!</v>
      </c>
    </row>
    <row r="463" spans="1:10" ht="31.5" hidden="1" x14ac:dyDescent="0.25">
      <c r="A463" s="335" t="s">
        <v>149</v>
      </c>
      <c r="B463" s="482">
        <v>903</v>
      </c>
      <c r="C463" s="268" t="s">
        <v>159</v>
      </c>
      <c r="D463" s="268" t="s">
        <v>81</v>
      </c>
      <c r="E463" s="268" t="s">
        <v>823</v>
      </c>
      <c r="F463" s="268" t="s">
        <v>150</v>
      </c>
      <c r="G463" s="337">
        <f>G464</f>
        <v>0</v>
      </c>
      <c r="H463" s="337">
        <f>H464</f>
        <v>0</v>
      </c>
      <c r="I463" s="337" t="e">
        <f t="shared" si="42"/>
        <v>#DIV/0!</v>
      </c>
    </row>
    <row r="464" spans="1:10" ht="15.75" hidden="1" x14ac:dyDescent="0.25">
      <c r="A464" s="335" t="s">
        <v>151</v>
      </c>
      <c r="B464" s="482">
        <v>903</v>
      </c>
      <c r="C464" s="268" t="s">
        <v>159</v>
      </c>
      <c r="D464" s="268" t="s">
        <v>81</v>
      </c>
      <c r="E464" s="268" t="s">
        <v>823</v>
      </c>
      <c r="F464" s="268" t="s">
        <v>152</v>
      </c>
      <c r="G464" s="337"/>
      <c r="H464" s="337"/>
      <c r="I464" s="337" t="e">
        <f t="shared" si="42"/>
        <v>#DIV/0!</v>
      </c>
    </row>
    <row r="465" spans="1:10" ht="31.5" x14ac:dyDescent="0.25">
      <c r="A465" s="335" t="s">
        <v>855</v>
      </c>
      <c r="B465" s="482">
        <v>903</v>
      </c>
      <c r="C465" s="268" t="s">
        <v>159</v>
      </c>
      <c r="D465" s="268" t="s">
        <v>81</v>
      </c>
      <c r="E465" s="268" t="s">
        <v>824</v>
      </c>
      <c r="F465" s="268"/>
      <c r="G465" s="337">
        <f>G466</f>
        <v>1635.92662</v>
      </c>
      <c r="H465" s="337">
        <f>H466</f>
        <v>1635.92662</v>
      </c>
      <c r="I465" s="337">
        <f t="shared" si="42"/>
        <v>100</v>
      </c>
    </row>
    <row r="466" spans="1:10" ht="31.5" x14ac:dyDescent="0.25">
      <c r="A466" s="335" t="s">
        <v>149</v>
      </c>
      <c r="B466" s="482">
        <v>903</v>
      </c>
      <c r="C466" s="268" t="s">
        <v>159</v>
      </c>
      <c r="D466" s="268" t="s">
        <v>81</v>
      </c>
      <c r="E466" s="268" t="s">
        <v>824</v>
      </c>
      <c r="F466" s="268" t="s">
        <v>150</v>
      </c>
      <c r="G466" s="337">
        <f>G467</f>
        <v>1635.92662</v>
      </c>
      <c r="H466" s="337">
        <f>H467</f>
        <v>1635.92662</v>
      </c>
      <c r="I466" s="337">
        <f t="shared" si="42"/>
        <v>100</v>
      </c>
    </row>
    <row r="467" spans="1:10" ht="25.5" customHeight="1" x14ac:dyDescent="0.25">
      <c r="A467" s="335" t="s">
        <v>151</v>
      </c>
      <c r="B467" s="482">
        <v>903</v>
      </c>
      <c r="C467" s="268" t="s">
        <v>159</v>
      </c>
      <c r="D467" s="268" t="s">
        <v>81</v>
      </c>
      <c r="E467" s="268" t="s">
        <v>824</v>
      </c>
      <c r="F467" s="268" t="s">
        <v>152</v>
      </c>
      <c r="G467" s="337">
        <f>959.2-274.6+90+4.67752+179.92248+159.384+150-45.34-17.28238+395+34.965</f>
        <v>1635.92662</v>
      </c>
      <c r="H467" s="337">
        <v>1635.92662</v>
      </c>
      <c r="I467" s="337">
        <f t="shared" si="42"/>
        <v>100</v>
      </c>
    </row>
    <row r="468" spans="1:10" ht="31.5" x14ac:dyDescent="0.25">
      <c r="A468" s="116" t="s">
        <v>380</v>
      </c>
      <c r="B468" s="432">
        <v>903</v>
      </c>
      <c r="C468" s="481" t="s">
        <v>159</v>
      </c>
      <c r="D468" s="481" t="s">
        <v>81</v>
      </c>
      <c r="E468" s="481" t="s">
        <v>565</v>
      </c>
      <c r="F468" s="481"/>
      <c r="G468" s="273">
        <f>G469+G472+G475</f>
        <v>1653.3759599999998</v>
      </c>
      <c r="H468" s="273">
        <f>H469+H472+H475</f>
        <v>1653.3759600000001</v>
      </c>
      <c r="I468" s="338">
        <f t="shared" si="42"/>
        <v>100.00000000000003</v>
      </c>
    </row>
    <row r="469" spans="1:10" ht="36.75" customHeight="1" x14ac:dyDescent="0.25">
      <c r="A469" s="335" t="s">
        <v>304</v>
      </c>
      <c r="B469" s="482">
        <v>903</v>
      </c>
      <c r="C469" s="268" t="s">
        <v>159</v>
      </c>
      <c r="D469" s="268" t="s">
        <v>81</v>
      </c>
      <c r="E469" s="268" t="s">
        <v>566</v>
      </c>
      <c r="F469" s="268"/>
      <c r="G469" s="337">
        <f t="shared" ref="G469:H470" si="43">G470</f>
        <v>567.62800000000004</v>
      </c>
      <c r="H469" s="337">
        <f t="shared" si="43"/>
        <v>567.62800000000004</v>
      </c>
      <c r="I469" s="337">
        <f t="shared" si="42"/>
        <v>100</v>
      </c>
    </row>
    <row r="470" spans="1:10" ht="62.45" customHeight="1" x14ac:dyDescent="0.25">
      <c r="A470" s="335" t="s">
        <v>84</v>
      </c>
      <c r="B470" s="482">
        <v>903</v>
      </c>
      <c r="C470" s="268" t="s">
        <v>159</v>
      </c>
      <c r="D470" s="268" t="s">
        <v>81</v>
      </c>
      <c r="E470" s="268" t="s">
        <v>566</v>
      </c>
      <c r="F470" s="268" t="s">
        <v>85</v>
      </c>
      <c r="G470" s="337">
        <f t="shared" si="43"/>
        <v>567.62800000000004</v>
      </c>
      <c r="H470" s="337">
        <f t="shared" si="43"/>
        <v>567.62800000000004</v>
      </c>
      <c r="I470" s="337">
        <f t="shared" si="42"/>
        <v>100</v>
      </c>
    </row>
    <row r="471" spans="1:10" ht="36.75" customHeight="1" x14ac:dyDescent="0.25">
      <c r="A471" s="335" t="s">
        <v>86</v>
      </c>
      <c r="B471" s="482">
        <v>903</v>
      </c>
      <c r="C471" s="268" t="s">
        <v>159</v>
      </c>
      <c r="D471" s="268" t="s">
        <v>81</v>
      </c>
      <c r="E471" s="268" t="s">
        <v>566</v>
      </c>
      <c r="F471" s="268" t="s">
        <v>117</v>
      </c>
      <c r="G471" s="337">
        <f>473+40+94-11.4428-3.0332-24.896</f>
        <v>567.62800000000004</v>
      </c>
      <c r="H471" s="337">
        <v>567.62800000000004</v>
      </c>
      <c r="I471" s="337">
        <f t="shared" si="42"/>
        <v>100</v>
      </c>
      <c r="J471" s="341"/>
    </row>
    <row r="472" spans="1:10" ht="31.5" x14ac:dyDescent="0.25">
      <c r="A472" s="335" t="s">
        <v>261</v>
      </c>
      <c r="B472" s="482">
        <v>903</v>
      </c>
      <c r="C472" s="268" t="s">
        <v>159</v>
      </c>
      <c r="D472" s="268" t="s">
        <v>81</v>
      </c>
      <c r="E472" s="268" t="s">
        <v>781</v>
      </c>
      <c r="F472" s="268"/>
      <c r="G472" s="337">
        <f>G473</f>
        <v>318.71623999999997</v>
      </c>
      <c r="H472" s="337">
        <f>H473</f>
        <v>318.71624000000003</v>
      </c>
      <c r="I472" s="337">
        <f t="shared" si="42"/>
        <v>100.00000000000003</v>
      </c>
    </row>
    <row r="473" spans="1:10" ht="31.5" x14ac:dyDescent="0.25">
      <c r="A473" s="335" t="s">
        <v>149</v>
      </c>
      <c r="B473" s="482">
        <v>903</v>
      </c>
      <c r="C473" s="268" t="s">
        <v>159</v>
      </c>
      <c r="D473" s="268" t="s">
        <v>81</v>
      </c>
      <c r="E473" s="268" t="s">
        <v>781</v>
      </c>
      <c r="F473" s="268" t="s">
        <v>150</v>
      </c>
      <c r="G473" s="337">
        <f>G474</f>
        <v>318.71623999999997</v>
      </c>
      <c r="H473" s="337">
        <f>H474</f>
        <v>318.71624000000003</v>
      </c>
      <c r="I473" s="337">
        <f t="shared" si="42"/>
        <v>100.00000000000003</v>
      </c>
    </row>
    <row r="474" spans="1:10" ht="25.5" customHeight="1" x14ac:dyDescent="0.25">
      <c r="A474" s="335" t="s">
        <v>151</v>
      </c>
      <c r="B474" s="482">
        <v>903</v>
      </c>
      <c r="C474" s="268" t="s">
        <v>159</v>
      </c>
      <c r="D474" s="268" t="s">
        <v>81</v>
      </c>
      <c r="E474" s="268" t="s">
        <v>781</v>
      </c>
      <c r="F474" s="268" t="s">
        <v>152</v>
      </c>
      <c r="G474" s="337">
        <f>430-28.03043-90.99813+7.7448</f>
        <v>318.71623999999997</v>
      </c>
      <c r="H474" s="337">
        <v>318.71624000000003</v>
      </c>
      <c r="I474" s="337">
        <f t="shared" si="42"/>
        <v>100.00000000000003</v>
      </c>
      <c r="J474" s="341"/>
    </row>
    <row r="475" spans="1:10" ht="31.5" x14ac:dyDescent="0.25">
      <c r="A475" s="335" t="s">
        <v>840</v>
      </c>
      <c r="B475" s="482">
        <v>903</v>
      </c>
      <c r="C475" s="268" t="s">
        <v>159</v>
      </c>
      <c r="D475" s="268" t="s">
        <v>81</v>
      </c>
      <c r="E475" s="268" t="s">
        <v>839</v>
      </c>
      <c r="F475" s="268"/>
      <c r="G475" s="337">
        <f>G476</f>
        <v>767.03171999999995</v>
      </c>
      <c r="H475" s="337">
        <f>H476</f>
        <v>767.03171999999995</v>
      </c>
      <c r="I475" s="337">
        <f t="shared" si="42"/>
        <v>100</v>
      </c>
    </row>
    <row r="476" spans="1:10" ht="31.5" x14ac:dyDescent="0.25">
      <c r="A476" s="335" t="s">
        <v>149</v>
      </c>
      <c r="B476" s="482">
        <v>903</v>
      </c>
      <c r="C476" s="268" t="s">
        <v>159</v>
      </c>
      <c r="D476" s="268" t="s">
        <v>81</v>
      </c>
      <c r="E476" s="268" t="s">
        <v>839</v>
      </c>
      <c r="F476" s="268" t="s">
        <v>150</v>
      </c>
      <c r="G476" s="337">
        <f>G477</f>
        <v>767.03171999999995</v>
      </c>
      <c r="H476" s="337">
        <f>H477</f>
        <v>767.03171999999995</v>
      </c>
      <c r="I476" s="337">
        <f t="shared" si="42"/>
        <v>100</v>
      </c>
    </row>
    <row r="477" spans="1:10" ht="15.75" x14ac:dyDescent="0.25">
      <c r="A477" s="335" t="s">
        <v>151</v>
      </c>
      <c r="B477" s="482">
        <v>903</v>
      </c>
      <c r="C477" s="268" t="s">
        <v>159</v>
      </c>
      <c r="D477" s="268" t="s">
        <v>81</v>
      </c>
      <c r="E477" s="268" t="s">
        <v>839</v>
      </c>
      <c r="F477" s="268" t="s">
        <v>152</v>
      </c>
      <c r="G477" s="337">
        <f>770-2.96828</f>
        <v>767.03171999999995</v>
      </c>
      <c r="H477" s="337">
        <v>767.03171999999995</v>
      </c>
      <c r="I477" s="337">
        <f t="shared" si="42"/>
        <v>100</v>
      </c>
    </row>
    <row r="478" spans="1:10" ht="34.9" customHeight="1" x14ac:dyDescent="0.25">
      <c r="A478" s="316" t="s">
        <v>349</v>
      </c>
      <c r="B478" s="432">
        <v>903</v>
      </c>
      <c r="C478" s="481" t="s">
        <v>159</v>
      </c>
      <c r="D478" s="481" t="s">
        <v>81</v>
      </c>
      <c r="E478" s="481" t="s">
        <v>567</v>
      </c>
      <c r="F478" s="481"/>
      <c r="G478" s="338">
        <f>G479+G482</f>
        <v>2242</v>
      </c>
      <c r="H478" s="338">
        <f>H479+H482</f>
        <v>2214.4945199999997</v>
      </c>
      <c r="I478" s="338">
        <f t="shared" si="42"/>
        <v>98.773172167707386</v>
      </c>
    </row>
    <row r="479" spans="1:10" ht="62.45" customHeight="1" x14ac:dyDescent="0.25">
      <c r="A479" s="335" t="s">
        <v>163</v>
      </c>
      <c r="B479" s="482">
        <v>903</v>
      </c>
      <c r="C479" s="268" t="s">
        <v>159</v>
      </c>
      <c r="D479" s="268" t="s">
        <v>81</v>
      </c>
      <c r="E479" s="268" t="s">
        <v>616</v>
      </c>
      <c r="F479" s="268"/>
      <c r="G479" s="337">
        <f>G480</f>
        <v>210.4</v>
      </c>
      <c r="H479" s="337">
        <f>H480</f>
        <v>182.89452</v>
      </c>
      <c r="I479" s="337">
        <f t="shared" si="42"/>
        <v>86.927053231939169</v>
      </c>
    </row>
    <row r="480" spans="1:10" ht="66.599999999999994" customHeight="1" x14ac:dyDescent="0.25">
      <c r="A480" s="335" t="s">
        <v>84</v>
      </c>
      <c r="B480" s="482">
        <v>903</v>
      </c>
      <c r="C480" s="268" t="s">
        <v>159</v>
      </c>
      <c r="D480" s="268" t="s">
        <v>81</v>
      </c>
      <c r="E480" s="268" t="s">
        <v>616</v>
      </c>
      <c r="F480" s="268" t="s">
        <v>85</v>
      </c>
      <c r="G480" s="337">
        <f>G481</f>
        <v>210.4</v>
      </c>
      <c r="H480" s="337">
        <f>H481</f>
        <v>182.89452</v>
      </c>
      <c r="I480" s="337">
        <f t="shared" si="42"/>
        <v>86.927053231939169</v>
      </c>
    </row>
    <row r="481" spans="1:9" ht="21.75" customHeight="1" x14ac:dyDescent="0.25">
      <c r="A481" s="335" t="s">
        <v>116</v>
      </c>
      <c r="B481" s="482">
        <v>903</v>
      </c>
      <c r="C481" s="268" t="s">
        <v>159</v>
      </c>
      <c r="D481" s="268" t="s">
        <v>81</v>
      </c>
      <c r="E481" s="268" t="s">
        <v>616</v>
      </c>
      <c r="F481" s="268" t="s">
        <v>117</v>
      </c>
      <c r="G481" s="337">
        <v>210.4</v>
      </c>
      <c r="H481" s="337">
        <v>182.89452</v>
      </c>
      <c r="I481" s="337">
        <f t="shared" si="42"/>
        <v>86.927053231939169</v>
      </c>
    </row>
    <row r="482" spans="1:9" ht="55.15" customHeight="1" x14ac:dyDescent="0.25">
      <c r="A482" s="335" t="s">
        <v>852</v>
      </c>
      <c r="B482" s="482">
        <v>903</v>
      </c>
      <c r="C482" s="268" t="s">
        <v>159</v>
      </c>
      <c r="D482" s="268" t="s">
        <v>81</v>
      </c>
      <c r="E482" s="268" t="s">
        <v>764</v>
      </c>
      <c r="F482" s="268"/>
      <c r="G482" s="337">
        <f>G483+G485</f>
        <v>2031.6</v>
      </c>
      <c r="H482" s="337">
        <f>H483+H485</f>
        <v>2031.6</v>
      </c>
      <c r="I482" s="337">
        <f t="shared" si="42"/>
        <v>100</v>
      </c>
    </row>
    <row r="483" spans="1:9" ht="78.75" x14ac:dyDescent="0.25">
      <c r="A483" s="335" t="s">
        <v>84</v>
      </c>
      <c r="B483" s="482">
        <v>903</v>
      </c>
      <c r="C483" s="268" t="s">
        <v>159</v>
      </c>
      <c r="D483" s="268" t="s">
        <v>81</v>
      </c>
      <c r="E483" s="268" t="s">
        <v>764</v>
      </c>
      <c r="F483" s="268" t="s">
        <v>85</v>
      </c>
      <c r="G483" s="337">
        <f>G484</f>
        <v>1109.3</v>
      </c>
      <c r="H483" s="337">
        <f>H484</f>
        <v>1109.3</v>
      </c>
      <c r="I483" s="337">
        <f t="shared" si="42"/>
        <v>100</v>
      </c>
    </row>
    <row r="484" spans="1:9" ht="21.75" customHeight="1" x14ac:dyDescent="0.25">
      <c r="A484" s="336" t="s">
        <v>168</v>
      </c>
      <c r="B484" s="482">
        <v>903</v>
      </c>
      <c r="C484" s="268" t="s">
        <v>159</v>
      </c>
      <c r="D484" s="268" t="s">
        <v>81</v>
      </c>
      <c r="E484" s="268" t="s">
        <v>764</v>
      </c>
      <c r="F484" s="268" t="s">
        <v>117</v>
      </c>
      <c r="G484" s="337">
        <v>1109.3</v>
      </c>
      <c r="H484" s="337">
        <v>1109.3</v>
      </c>
      <c r="I484" s="337">
        <f t="shared" si="42"/>
        <v>100</v>
      </c>
    </row>
    <row r="485" spans="1:9" ht="31.15" customHeight="1" x14ac:dyDescent="0.25">
      <c r="A485" s="335" t="s">
        <v>149</v>
      </c>
      <c r="B485" s="482">
        <v>903</v>
      </c>
      <c r="C485" s="268" t="s">
        <v>159</v>
      </c>
      <c r="D485" s="268" t="s">
        <v>81</v>
      </c>
      <c r="E485" s="268" t="s">
        <v>764</v>
      </c>
      <c r="F485" s="268" t="s">
        <v>150</v>
      </c>
      <c r="G485" s="337">
        <f>G486</f>
        <v>922.3</v>
      </c>
      <c r="H485" s="337">
        <f>H486</f>
        <v>922.3</v>
      </c>
      <c r="I485" s="337">
        <f t="shared" si="42"/>
        <v>100</v>
      </c>
    </row>
    <row r="486" spans="1:9" ht="21.75" customHeight="1" x14ac:dyDescent="0.25">
      <c r="A486" s="335" t="s">
        <v>151</v>
      </c>
      <c r="B486" s="482">
        <v>903</v>
      </c>
      <c r="C486" s="268" t="s">
        <v>159</v>
      </c>
      <c r="D486" s="268" t="s">
        <v>81</v>
      </c>
      <c r="E486" s="268" t="s">
        <v>764</v>
      </c>
      <c r="F486" s="268" t="s">
        <v>152</v>
      </c>
      <c r="G486" s="337">
        <f>988-65.7</f>
        <v>922.3</v>
      </c>
      <c r="H486" s="337">
        <v>922.3</v>
      </c>
      <c r="I486" s="337">
        <f t="shared" si="42"/>
        <v>100</v>
      </c>
    </row>
    <row r="487" spans="1:9" ht="33" customHeight="1" x14ac:dyDescent="0.25">
      <c r="A487" s="116" t="s">
        <v>351</v>
      </c>
      <c r="B487" s="432">
        <v>903</v>
      </c>
      <c r="C487" s="481" t="s">
        <v>159</v>
      </c>
      <c r="D487" s="481" t="s">
        <v>81</v>
      </c>
      <c r="E487" s="481" t="s">
        <v>569</v>
      </c>
      <c r="F487" s="481"/>
      <c r="G487" s="338">
        <f t="shared" ref="G487:H489" si="44">G488</f>
        <v>1000</v>
      </c>
      <c r="H487" s="338">
        <f t="shared" si="44"/>
        <v>1000</v>
      </c>
      <c r="I487" s="338">
        <f t="shared" si="42"/>
        <v>100</v>
      </c>
    </row>
    <row r="488" spans="1:9" ht="32.25" customHeight="1" x14ac:dyDescent="0.25">
      <c r="A488" s="335" t="s">
        <v>295</v>
      </c>
      <c r="B488" s="482">
        <v>903</v>
      </c>
      <c r="C488" s="268" t="s">
        <v>159</v>
      </c>
      <c r="D488" s="268" t="s">
        <v>81</v>
      </c>
      <c r="E488" s="268" t="s">
        <v>570</v>
      </c>
      <c r="F488" s="268"/>
      <c r="G488" s="337">
        <f t="shared" si="44"/>
        <v>1000</v>
      </c>
      <c r="H488" s="337">
        <f t="shared" si="44"/>
        <v>1000</v>
      </c>
      <c r="I488" s="337">
        <f t="shared" si="42"/>
        <v>100</v>
      </c>
    </row>
    <row r="489" spans="1:9" ht="33.75" customHeight="1" x14ac:dyDescent="0.25">
      <c r="A489" s="335" t="s">
        <v>88</v>
      </c>
      <c r="B489" s="482">
        <v>903</v>
      </c>
      <c r="C489" s="268" t="s">
        <v>159</v>
      </c>
      <c r="D489" s="268" t="s">
        <v>81</v>
      </c>
      <c r="E489" s="268" t="s">
        <v>570</v>
      </c>
      <c r="F489" s="268" t="s">
        <v>89</v>
      </c>
      <c r="G489" s="337">
        <f t="shared" si="44"/>
        <v>1000</v>
      </c>
      <c r="H489" s="337">
        <f t="shared" si="44"/>
        <v>1000</v>
      </c>
      <c r="I489" s="337">
        <f t="shared" si="42"/>
        <v>100</v>
      </c>
    </row>
    <row r="490" spans="1:9" ht="31.7" customHeight="1" x14ac:dyDescent="0.25">
      <c r="A490" s="335" t="s">
        <v>90</v>
      </c>
      <c r="B490" s="482">
        <v>903</v>
      </c>
      <c r="C490" s="268" t="s">
        <v>159</v>
      </c>
      <c r="D490" s="268" t="s">
        <v>81</v>
      </c>
      <c r="E490" s="268" t="s">
        <v>570</v>
      </c>
      <c r="F490" s="268" t="s">
        <v>91</v>
      </c>
      <c r="G490" s="337">
        <v>1000</v>
      </c>
      <c r="H490" s="337">
        <v>1000</v>
      </c>
      <c r="I490" s="337">
        <f t="shared" si="42"/>
        <v>100</v>
      </c>
    </row>
    <row r="491" spans="1:9" ht="21.2" hidden="1" customHeight="1" x14ac:dyDescent="0.25">
      <c r="A491" s="116" t="s">
        <v>438</v>
      </c>
      <c r="B491" s="432">
        <v>903</v>
      </c>
      <c r="C491" s="481" t="s">
        <v>159</v>
      </c>
      <c r="D491" s="481" t="s">
        <v>81</v>
      </c>
      <c r="E491" s="481" t="s">
        <v>571</v>
      </c>
      <c r="F491" s="481"/>
      <c r="G491" s="338">
        <f>G492+G495</f>
        <v>0</v>
      </c>
      <c r="H491" s="338">
        <f>H492+H495</f>
        <v>0</v>
      </c>
      <c r="I491" s="337" t="e">
        <f t="shared" si="42"/>
        <v>#DIV/0!</v>
      </c>
    </row>
    <row r="492" spans="1:9" ht="31.5" hidden="1" x14ac:dyDescent="0.25">
      <c r="A492" s="335" t="s">
        <v>669</v>
      </c>
      <c r="B492" s="482">
        <v>903</v>
      </c>
      <c r="C492" s="268" t="s">
        <v>159</v>
      </c>
      <c r="D492" s="268" t="s">
        <v>81</v>
      </c>
      <c r="E492" s="268" t="s">
        <v>572</v>
      </c>
      <c r="F492" s="268"/>
      <c r="G492" s="337">
        <f t="shared" ref="G492:H493" si="45">G493</f>
        <v>0</v>
      </c>
      <c r="H492" s="337">
        <f t="shared" si="45"/>
        <v>0</v>
      </c>
      <c r="I492" s="337" t="e">
        <f t="shared" si="42"/>
        <v>#DIV/0!</v>
      </c>
    </row>
    <row r="493" spans="1:9" ht="31.5" hidden="1" x14ac:dyDescent="0.25">
      <c r="A493" s="335" t="s">
        <v>88</v>
      </c>
      <c r="B493" s="482">
        <v>903</v>
      </c>
      <c r="C493" s="268" t="s">
        <v>159</v>
      </c>
      <c r="D493" s="268" t="s">
        <v>81</v>
      </c>
      <c r="E493" s="268" t="s">
        <v>572</v>
      </c>
      <c r="F493" s="268" t="s">
        <v>89</v>
      </c>
      <c r="G493" s="337">
        <f t="shared" si="45"/>
        <v>0</v>
      </c>
      <c r="H493" s="337">
        <f t="shared" si="45"/>
        <v>0</v>
      </c>
      <c r="I493" s="337" t="e">
        <f t="shared" si="42"/>
        <v>#DIV/0!</v>
      </c>
    </row>
    <row r="494" spans="1:9" ht="31.5" hidden="1" x14ac:dyDescent="0.25">
      <c r="A494" s="335" t="s">
        <v>90</v>
      </c>
      <c r="B494" s="482">
        <v>903</v>
      </c>
      <c r="C494" s="268" t="s">
        <v>159</v>
      </c>
      <c r="D494" s="268" t="s">
        <v>81</v>
      </c>
      <c r="E494" s="268" t="s">
        <v>572</v>
      </c>
      <c r="F494" s="268" t="s">
        <v>91</v>
      </c>
      <c r="G494" s="337"/>
      <c r="H494" s="337"/>
      <c r="I494" s="337" t="e">
        <f t="shared" si="42"/>
        <v>#DIV/0!</v>
      </c>
    </row>
    <row r="495" spans="1:9" ht="27.75" hidden="1" customHeight="1" x14ac:dyDescent="0.25">
      <c r="A495" s="335" t="s">
        <v>761</v>
      </c>
      <c r="B495" s="482">
        <v>903</v>
      </c>
      <c r="C495" s="268" t="s">
        <v>159</v>
      </c>
      <c r="D495" s="268" t="s">
        <v>81</v>
      </c>
      <c r="E495" s="268" t="s">
        <v>762</v>
      </c>
      <c r="F495" s="268"/>
      <c r="G495" s="337">
        <f>G496</f>
        <v>0</v>
      </c>
      <c r="H495" s="337">
        <f>H496</f>
        <v>0</v>
      </c>
      <c r="I495" s="337" t="e">
        <f t="shared" si="42"/>
        <v>#DIV/0!</v>
      </c>
    </row>
    <row r="496" spans="1:9" ht="31.5" hidden="1" x14ac:dyDescent="0.25">
      <c r="A496" s="335" t="s">
        <v>88</v>
      </c>
      <c r="B496" s="482">
        <v>903</v>
      </c>
      <c r="C496" s="268" t="s">
        <v>159</v>
      </c>
      <c r="D496" s="268" t="s">
        <v>81</v>
      </c>
      <c r="E496" s="268" t="s">
        <v>762</v>
      </c>
      <c r="F496" s="268" t="s">
        <v>89</v>
      </c>
      <c r="G496" s="337">
        <f>G497</f>
        <v>0</v>
      </c>
      <c r="H496" s="337">
        <f>H497</f>
        <v>0</v>
      </c>
      <c r="I496" s="337" t="e">
        <f t="shared" si="42"/>
        <v>#DIV/0!</v>
      </c>
    </row>
    <row r="497" spans="1:9" ht="31.5" hidden="1" x14ac:dyDescent="0.25">
      <c r="A497" s="335" t="s">
        <v>90</v>
      </c>
      <c r="B497" s="482">
        <v>903</v>
      </c>
      <c r="C497" s="268" t="s">
        <v>159</v>
      </c>
      <c r="D497" s="268" t="s">
        <v>81</v>
      </c>
      <c r="E497" s="268" t="s">
        <v>762</v>
      </c>
      <c r="F497" s="268" t="s">
        <v>91</v>
      </c>
      <c r="G497" s="337"/>
      <c r="H497" s="337"/>
      <c r="I497" s="337" t="e">
        <f t="shared" si="42"/>
        <v>#DIV/0!</v>
      </c>
    </row>
    <row r="498" spans="1:9" ht="31.5" hidden="1" x14ac:dyDescent="0.25">
      <c r="A498" s="22" t="s">
        <v>705</v>
      </c>
      <c r="B498" s="432">
        <v>903</v>
      </c>
      <c r="C498" s="481" t="s">
        <v>159</v>
      </c>
      <c r="D498" s="481" t="s">
        <v>81</v>
      </c>
      <c r="E498" s="481" t="s">
        <v>707</v>
      </c>
      <c r="F498" s="481"/>
      <c r="G498" s="338">
        <f t="shared" ref="G498:H500" si="46">G499</f>
        <v>0</v>
      </c>
      <c r="H498" s="338">
        <f t="shared" si="46"/>
        <v>0</v>
      </c>
      <c r="I498" s="337" t="e">
        <f t="shared" si="42"/>
        <v>#DIV/0!</v>
      </c>
    </row>
    <row r="499" spans="1:9" ht="47.25" hidden="1" x14ac:dyDescent="0.25">
      <c r="A499" s="20" t="s">
        <v>706</v>
      </c>
      <c r="B499" s="482">
        <v>903</v>
      </c>
      <c r="C499" s="268" t="s">
        <v>159</v>
      </c>
      <c r="D499" s="268" t="s">
        <v>81</v>
      </c>
      <c r="E499" s="268" t="s">
        <v>708</v>
      </c>
      <c r="F499" s="268"/>
      <c r="G499" s="337">
        <f t="shared" si="46"/>
        <v>0</v>
      </c>
      <c r="H499" s="337">
        <f t="shared" si="46"/>
        <v>0</v>
      </c>
      <c r="I499" s="337" t="e">
        <f t="shared" si="42"/>
        <v>#DIV/0!</v>
      </c>
    </row>
    <row r="500" spans="1:9" ht="31.5" hidden="1" x14ac:dyDescent="0.25">
      <c r="A500" s="335" t="s">
        <v>88</v>
      </c>
      <c r="B500" s="482">
        <v>903</v>
      </c>
      <c r="C500" s="268" t="s">
        <v>159</v>
      </c>
      <c r="D500" s="268" t="s">
        <v>81</v>
      </c>
      <c r="E500" s="268" t="s">
        <v>708</v>
      </c>
      <c r="F500" s="268" t="s">
        <v>89</v>
      </c>
      <c r="G500" s="337">
        <f t="shared" si="46"/>
        <v>0</v>
      </c>
      <c r="H500" s="337">
        <f t="shared" si="46"/>
        <v>0</v>
      </c>
      <c r="I500" s="337" t="e">
        <f t="shared" si="42"/>
        <v>#DIV/0!</v>
      </c>
    </row>
    <row r="501" spans="1:9" ht="31.5" hidden="1" x14ac:dyDescent="0.25">
      <c r="A501" s="335" t="s">
        <v>90</v>
      </c>
      <c r="B501" s="482">
        <v>903</v>
      </c>
      <c r="C501" s="268" t="s">
        <v>159</v>
      </c>
      <c r="D501" s="268" t="s">
        <v>81</v>
      </c>
      <c r="E501" s="268" t="s">
        <v>708</v>
      </c>
      <c r="F501" s="268" t="s">
        <v>91</v>
      </c>
      <c r="G501" s="337">
        <f>1500-1500</f>
        <v>0</v>
      </c>
      <c r="H501" s="337">
        <f>1500-1500</f>
        <v>0</v>
      </c>
      <c r="I501" s="337" t="e">
        <f t="shared" si="42"/>
        <v>#DIV/0!</v>
      </c>
    </row>
    <row r="502" spans="1:9" ht="31.15" hidden="1" customHeight="1" x14ac:dyDescent="0.25">
      <c r="A502" s="116" t="s">
        <v>828</v>
      </c>
      <c r="B502" s="432">
        <v>903</v>
      </c>
      <c r="C502" s="481" t="s">
        <v>159</v>
      </c>
      <c r="D502" s="481" t="s">
        <v>81</v>
      </c>
      <c r="E502" s="481" t="s">
        <v>825</v>
      </c>
      <c r="F502" s="481"/>
      <c r="G502" s="338">
        <f t="shared" ref="G502:H504" si="47">G503</f>
        <v>0</v>
      </c>
      <c r="H502" s="338">
        <f t="shared" si="47"/>
        <v>0</v>
      </c>
      <c r="I502" s="337" t="e">
        <f t="shared" si="42"/>
        <v>#DIV/0!</v>
      </c>
    </row>
    <row r="503" spans="1:9" ht="31.5" hidden="1" x14ac:dyDescent="0.25">
      <c r="A503" s="335" t="s">
        <v>826</v>
      </c>
      <c r="B503" s="482">
        <v>903</v>
      </c>
      <c r="C503" s="268" t="s">
        <v>159</v>
      </c>
      <c r="D503" s="268" t="s">
        <v>81</v>
      </c>
      <c r="E503" s="268" t="s">
        <v>827</v>
      </c>
      <c r="F503" s="268"/>
      <c r="G503" s="337">
        <f t="shared" si="47"/>
        <v>0</v>
      </c>
      <c r="H503" s="337">
        <f t="shared" si="47"/>
        <v>0</v>
      </c>
      <c r="I503" s="337" t="e">
        <f t="shared" si="42"/>
        <v>#DIV/0!</v>
      </c>
    </row>
    <row r="504" spans="1:9" ht="31.5" hidden="1" x14ac:dyDescent="0.25">
      <c r="A504" s="335" t="s">
        <v>149</v>
      </c>
      <c r="B504" s="482">
        <v>903</v>
      </c>
      <c r="C504" s="268" t="s">
        <v>159</v>
      </c>
      <c r="D504" s="268" t="s">
        <v>81</v>
      </c>
      <c r="E504" s="268" t="s">
        <v>827</v>
      </c>
      <c r="F504" s="268" t="s">
        <v>150</v>
      </c>
      <c r="G504" s="337">
        <f t="shared" si="47"/>
        <v>0</v>
      </c>
      <c r="H504" s="337">
        <f t="shared" si="47"/>
        <v>0</v>
      </c>
      <c r="I504" s="337" t="e">
        <f t="shared" si="42"/>
        <v>#DIV/0!</v>
      </c>
    </row>
    <row r="505" spans="1:9" ht="15.75" hidden="1" x14ac:dyDescent="0.25">
      <c r="A505" s="335" t="s">
        <v>151</v>
      </c>
      <c r="B505" s="482">
        <v>903</v>
      </c>
      <c r="C505" s="268" t="s">
        <v>159</v>
      </c>
      <c r="D505" s="268" t="s">
        <v>81</v>
      </c>
      <c r="E505" s="268" t="s">
        <v>827</v>
      </c>
      <c r="F505" s="268" t="s">
        <v>152</v>
      </c>
      <c r="G505" s="337"/>
      <c r="H505" s="337"/>
      <c r="I505" s="337" t="e">
        <f t="shared" si="42"/>
        <v>#DIV/0!</v>
      </c>
    </row>
    <row r="506" spans="1:9" ht="47.25" x14ac:dyDescent="0.25">
      <c r="A506" s="30" t="s">
        <v>861</v>
      </c>
      <c r="B506" s="432">
        <v>903</v>
      </c>
      <c r="C506" s="481" t="s">
        <v>159</v>
      </c>
      <c r="D506" s="481" t="s">
        <v>81</v>
      </c>
      <c r="E506" s="481" t="s">
        <v>568</v>
      </c>
      <c r="F506" s="481"/>
      <c r="G506" s="338">
        <f>G510+G507</f>
        <v>5000</v>
      </c>
      <c r="H506" s="338">
        <f>H510+H507</f>
        <v>5000</v>
      </c>
      <c r="I506" s="338">
        <f t="shared" si="42"/>
        <v>100</v>
      </c>
    </row>
    <row r="507" spans="1:9" ht="15.75" x14ac:dyDescent="0.25">
      <c r="A507" s="121" t="s">
        <v>856</v>
      </c>
      <c r="B507" s="482">
        <v>903</v>
      </c>
      <c r="C507" s="268" t="s">
        <v>159</v>
      </c>
      <c r="D507" s="268" t="s">
        <v>81</v>
      </c>
      <c r="E507" s="268" t="s">
        <v>857</v>
      </c>
      <c r="F507" s="268"/>
      <c r="G507" s="337">
        <f>G508</f>
        <v>5000</v>
      </c>
      <c r="H507" s="337">
        <f>H508</f>
        <v>5000</v>
      </c>
      <c r="I507" s="337">
        <f t="shared" si="42"/>
        <v>100</v>
      </c>
    </row>
    <row r="508" spans="1:9" ht="31.5" x14ac:dyDescent="0.25">
      <c r="A508" s="335" t="s">
        <v>88</v>
      </c>
      <c r="B508" s="482">
        <v>903</v>
      </c>
      <c r="C508" s="268" t="s">
        <v>159</v>
      </c>
      <c r="D508" s="268" t="s">
        <v>81</v>
      </c>
      <c r="E508" s="268" t="s">
        <v>857</v>
      </c>
      <c r="F508" s="268" t="s">
        <v>89</v>
      </c>
      <c r="G508" s="337">
        <f>G509</f>
        <v>5000</v>
      </c>
      <c r="H508" s="337">
        <f>H509</f>
        <v>5000</v>
      </c>
      <c r="I508" s="337">
        <f t="shared" si="42"/>
        <v>100</v>
      </c>
    </row>
    <row r="509" spans="1:9" ht="31.5" x14ac:dyDescent="0.25">
      <c r="A509" s="335" t="s">
        <v>90</v>
      </c>
      <c r="B509" s="482">
        <v>903</v>
      </c>
      <c r="C509" s="268" t="s">
        <v>159</v>
      </c>
      <c r="D509" s="268" t="s">
        <v>81</v>
      </c>
      <c r="E509" s="268" t="s">
        <v>857</v>
      </c>
      <c r="F509" s="268" t="s">
        <v>91</v>
      </c>
      <c r="G509" s="337">
        <v>5000</v>
      </c>
      <c r="H509" s="337">
        <v>5000</v>
      </c>
      <c r="I509" s="337">
        <f t="shared" si="42"/>
        <v>100</v>
      </c>
    </row>
    <row r="510" spans="1:9" ht="15.75" hidden="1" x14ac:dyDescent="0.25">
      <c r="A510" s="225" t="s">
        <v>759</v>
      </c>
      <c r="B510" s="482">
        <v>903</v>
      </c>
      <c r="C510" s="268" t="s">
        <v>159</v>
      </c>
      <c r="D510" s="268" t="s">
        <v>81</v>
      </c>
      <c r="E510" s="268" t="s">
        <v>760</v>
      </c>
      <c r="F510" s="481"/>
      <c r="G510" s="337">
        <f>G511</f>
        <v>0</v>
      </c>
      <c r="H510" s="337">
        <f>H511</f>
        <v>0</v>
      </c>
      <c r="I510" s="337" t="e">
        <f t="shared" si="42"/>
        <v>#DIV/0!</v>
      </c>
    </row>
    <row r="511" spans="1:9" ht="31.5" hidden="1" x14ac:dyDescent="0.25">
      <c r="A511" s="335" t="s">
        <v>149</v>
      </c>
      <c r="B511" s="482">
        <v>903</v>
      </c>
      <c r="C511" s="268" t="s">
        <v>159</v>
      </c>
      <c r="D511" s="268" t="s">
        <v>81</v>
      </c>
      <c r="E511" s="268" t="s">
        <v>760</v>
      </c>
      <c r="F511" s="268" t="s">
        <v>150</v>
      </c>
      <c r="G511" s="337">
        <f>G512</f>
        <v>0</v>
      </c>
      <c r="H511" s="337">
        <f>H512</f>
        <v>0</v>
      </c>
      <c r="I511" s="337" t="e">
        <f t="shared" si="42"/>
        <v>#DIV/0!</v>
      </c>
    </row>
    <row r="512" spans="1:9" ht="15.75" hidden="1" x14ac:dyDescent="0.25">
      <c r="A512" s="335" t="s">
        <v>151</v>
      </c>
      <c r="B512" s="482">
        <v>903</v>
      </c>
      <c r="C512" s="268" t="s">
        <v>159</v>
      </c>
      <c r="D512" s="268" t="s">
        <v>81</v>
      </c>
      <c r="E512" s="268" t="s">
        <v>760</v>
      </c>
      <c r="F512" s="268" t="s">
        <v>152</v>
      </c>
      <c r="G512" s="337"/>
      <c r="H512" s="337"/>
      <c r="I512" s="337" t="e">
        <f t="shared" si="42"/>
        <v>#DIV/0!</v>
      </c>
    </row>
    <row r="513" spans="1:10" ht="31.5" hidden="1" x14ac:dyDescent="0.25">
      <c r="A513" s="116" t="s">
        <v>811</v>
      </c>
      <c r="B513" s="432">
        <v>903</v>
      </c>
      <c r="C513" s="481" t="s">
        <v>159</v>
      </c>
      <c r="D513" s="481" t="s">
        <v>81</v>
      </c>
      <c r="E513" s="481" t="s">
        <v>776</v>
      </c>
      <c r="F513" s="481"/>
      <c r="G513" s="338">
        <f>G514</f>
        <v>0</v>
      </c>
      <c r="H513" s="338">
        <f>H514</f>
        <v>0</v>
      </c>
      <c r="I513" s="337" t="e">
        <f t="shared" si="42"/>
        <v>#DIV/0!</v>
      </c>
    </row>
    <row r="514" spans="1:10" ht="15.75" hidden="1" x14ac:dyDescent="0.25">
      <c r="A514" s="26" t="s">
        <v>552</v>
      </c>
      <c r="B514" s="482">
        <v>903</v>
      </c>
      <c r="C514" s="268" t="s">
        <v>159</v>
      </c>
      <c r="D514" s="268" t="s">
        <v>81</v>
      </c>
      <c r="E514" s="268" t="s">
        <v>777</v>
      </c>
      <c r="F514" s="268"/>
      <c r="G514" s="337">
        <f>G515+G517</f>
        <v>0</v>
      </c>
      <c r="H514" s="337">
        <f>H515+H517</f>
        <v>0</v>
      </c>
      <c r="I514" s="337" t="e">
        <f t="shared" si="42"/>
        <v>#DIV/0!</v>
      </c>
    </row>
    <row r="515" spans="1:10" ht="31.5" hidden="1" x14ac:dyDescent="0.25">
      <c r="A515" s="335" t="s">
        <v>88</v>
      </c>
      <c r="B515" s="482">
        <v>903</v>
      </c>
      <c r="C515" s="268" t="s">
        <v>159</v>
      </c>
      <c r="D515" s="268" t="s">
        <v>81</v>
      </c>
      <c r="E515" s="268" t="s">
        <v>777</v>
      </c>
      <c r="F515" s="268" t="s">
        <v>89</v>
      </c>
      <c r="G515" s="337">
        <f t="shared" ref="G515:H515" si="48">G516</f>
        <v>0</v>
      </c>
      <c r="H515" s="337">
        <f t="shared" si="48"/>
        <v>0</v>
      </c>
      <c r="I515" s="337" t="e">
        <f t="shared" si="42"/>
        <v>#DIV/0!</v>
      </c>
    </row>
    <row r="516" spans="1:10" ht="31.5" hidden="1" x14ac:dyDescent="0.25">
      <c r="A516" s="335" t="s">
        <v>90</v>
      </c>
      <c r="B516" s="482">
        <v>903</v>
      </c>
      <c r="C516" s="268" t="s">
        <v>159</v>
      </c>
      <c r="D516" s="268" t="s">
        <v>81</v>
      </c>
      <c r="E516" s="268" t="s">
        <v>777</v>
      </c>
      <c r="F516" s="268" t="s">
        <v>91</v>
      </c>
      <c r="G516" s="337">
        <f>112.4+11.3-2.8-120.9</f>
        <v>0</v>
      </c>
      <c r="H516" s="337">
        <f>112.4+11.3-2.8-120.9</f>
        <v>0</v>
      </c>
      <c r="I516" s="337" t="e">
        <f t="shared" si="42"/>
        <v>#DIV/0!</v>
      </c>
      <c r="J516" s="282"/>
    </row>
    <row r="517" spans="1:10" ht="31.5" hidden="1" x14ac:dyDescent="0.25">
      <c r="A517" s="335" t="s">
        <v>149</v>
      </c>
      <c r="B517" s="482">
        <v>903</v>
      </c>
      <c r="C517" s="268" t="s">
        <v>159</v>
      </c>
      <c r="D517" s="268" t="s">
        <v>81</v>
      </c>
      <c r="E517" s="268" t="s">
        <v>777</v>
      </c>
      <c r="F517" s="268" t="s">
        <v>150</v>
      </c>
      <c r="G517" s="337">
        <f>G518</f>
        <v>0</v>
      </c>
      <c r="H517" s="337">
        <f>H518</f>
        <v>0</v>
      </c>
      <c r="I517" s="337" t="e">
        <f t="shared" si="42"/>
        <v>#DIV/0!</v>
      </c>
      <c r="J517" s="330"/>
    </row>
    <row r="518" spans="1:10" ht="27" hidden="1" customHeight="1" x14ac:dyDescent="0.25">
      <c r="A518" s="335" t="s">
        <v>151</v>
      </c>
      <c r="B518" s="482">
        <v>903</v>
      </c>
      <c r="C518" s="268" t="s">
        <v>159</v>
      </c>
      <c r="D518" s="268" t="s">
        <v>81</v>
      </c>
      <c r="E518" s="268" t="s">
        <v>777</v>
      </c>
      <c r="F518" s="268" t="s">
        <v>152</v>
      </c>
      <c r="G518" s="337">
        <f>120.87-112.4-8.47</f>
        <v>0</v>
      </c>
      <c r="H518" s="337">
        <f>120.87-112.4-8.47</f>
        <v>0</v>
      </c>
      <c r="I518" s="337" t="e">
        <f t="shared" si="42"/>
        <v>#DIV/0!</v>
      </c>
      <c r="J518" s="330"/>
    </row>
    <row r="519" spans="1:10" ht="47.25" hidden="1" x14ac:dyDescent="0.25">
      <c r="A519" s="22" t="s">
        <v>905</v>
      </c>
      <c r="B519" s="432">
        <v>903</v>
      </c>
      <c r="C519" s="481" t="s">
        <v>159</v>
      </c>
      <c r="D519" s="481" t="s">
        <v>81</v>
      </c>
      <c r="E519" s="481" t="s">
        <v>162</v>
      </c>
      <c r="F519" s="481"/>
      <c r="G519" s="338">
        <f>G520</f>
        <v>0</v>
      </c>
      <c r="H519" s="338">
        <f>H520</f>
        <v>0</v>
      </c>
      <c r="I519" s="337" t="e">
        <f t="shared" si="42"/>
        <v>#DIV/0!</v>
      </c>
    </row>
    <row r="520" spans="1:10" ht="47.25" hidden="1" x14ac:dyDescent="0.25">
      <c r="A520" s="22" t="s">
        <v>452</v>
      </c>
      <c r="B520" s="432">
        <v>903</v>
      </c>
      <c r="C520" s="481" t="s">
        <v>159</v>
      </c>
      <c r="D520" s="481" t="s">
        <v>81</v>
      </c>
      <c r="E520" s="481" t="s">
        <v>372</v>
      </c>
      <c r="F520" s="481"/>
      <c r="G520" s="338">
        <f>G523+G524</f>
        <v>0</v>
      </c>
      <c r="H520" s="338">
        <f>H523+H524</f>
        <v>0</v>
      </c>
      <c r="I520" s="337" t="e">
        <f t="shared" si="42"/>
        <v>#DIV/0!</v>
      </c>
    </row>
    <row r="521" spans="1:10" ht="47.25" hidden="1" x14ac:dyDescent="0.25">
      <c r="A521" s="20" t="s">
        <v>493</v>
      </c>
      <c r="B521" s="482">
        <v>903</v>
      </c>
      <c r="C521" s="268" t="s">
        <v>159</v>
      </c>
      <c r="D521" s="268" t="s">
        <v>81</v>
      </c>
      <c r="E521" s="268" t="s">
        <v>453</v>
      </c>
      <c r="F521" s="268"/>
      <c r="G521" s="337">
        <f>G522</f>
        <v>0</v>
      </c>
      <c r="H521" s="337">
        <f>H522</f>
        <v>0</v>
      </c>
      <c r="I521" s="337" t="e">
        <f t="shared" si="42"/>
        <v>#DIV/0!</v>
      </c>
    </row>
    <row r="522" spans="1:10" ht="31.5" hidden="1" x14ac:dyDescent="0.25">
      <c r="A522" s="335" t="s">
        <v>88</v>
      </c>
      <c r="B522" s="482">
        <v>903</v>
      </c>
      <c r="C522" s="268" t="s">
        <v>159</v>
      </c>
      <c r="D522" s="268" t="s">
        <v>81</v>
      </c>
      <c r="E522" s="268" t="s">
        <v>453</v>
      </c>
      <c r="F522" s="268" t="s">
        <v>89</v>
      </c>
      <c r="G522" s="337">
        <f>G523</f>
        <v>0</v>
      </c>
      <c r="H522" s="337">
        <f>H523</f>
        <v>0</v>
      </c>
      <c r="I522" s="337" t="e">
        <f t="shared" si="42"/>
        <v>#DIV/0!</v>
      </c>
    </row>
    <row r="523" spans="1:10" ht="31.5" hidden="1" x14ac:dyDescent="0.25">
      <c r="A523" s="335" t="s">
        <v>90</v>
      </c>
      <c r="B523" s="482">
        <v>903</v>
      </c>
      <c r="C523" s="268" t="s">
        <v>159</v>
      </c>
      <c r="D523" s="268" t="s">
        <v>81</v>
      </c>
      <c r="E523" s="268" t="s">
        <v>453</v>
      </c>
      <c r="F523" s="268" t="s">
        <v>91</v>
      </c>
      <c r="G523" s="337"/>
      <c r="H523" s="337"/>
      <c r="I523" s="337" t="e">
        <f t="shared" si="42"/>
        <v>#DIV/0!</v>
      </c>
    </row>
    <row r="524" spans="1:10" ht="38.450000000000003" hidden="1" customHeight="1" x14ac:dyDescent="0.25">
      <c r="A524" s="335" t="s">
        <v>436</v>
      </c>
      <c r="B524" s="482">
        <v>903</v>
      </c>
      <c r="C524" s="268" t="s">
        <v>159</v>
      </c>
      <c r="D524" s="268" t="s">
        <v>81</v>
      </c>
      <c r="E524" s="268" t="s">
        <v>373</v>
      </c>
      <c r="F524" s="268"/>
      <c r="G524" s="337">
        <f>G525</f>
        <v>0</v>
      </c>
      <c r="H524" s="337">
        <f>H525</f>
        <v>0</v>
      </c>
      <c r="I524" s="337" t="e">
        <f t="shared" ref="I524:I587" si="49">H524/G524*100</f>
        <v>#DIV/0!</v>
      </c>
    </row>
    <row r="525" spans="1:10" ht="31.5" hidden="1" x14ac:dyDescent="0.25">
      <c r="A525" s="335" t="s">
        <v>149</v>
      </c>
      <c r="B525" s="482">
        <v>903</v>
      </c>
      <c r="C525" s="268" t="s">
        <v>159</v>
      </c>
      <c r="D525" s="268" t="s">
        <v>81</v>
      </c>
      <c r="E525" s="268" t="s">
        <v>373</v>
      </c>
      <c r="F525" s="268" t="s">
        <v>150</v>
      </c>
      <c r="G525" s="337">
        <f>G526</f>
        <v>0</v>
      </c>
      <c r="H525" s="337">
        <f>H526</f>
        <v>0</v>
      </c>
      <c r="I525" s="337" t="e">
        <f t="shared" si="49"/>
        <v>#DIV/0!</v>
      </c>
    </row>
    <row r="526" spans="1:10" ht="15.75" hidden="1" x14ac:dyDescent="0.25">
      <c r="A526" s="335" t="s">
        <v>151</v>
      </c>
      <c r="B526" s="482">
        <v>903</v>
      </c>
      <c r="C526" s="268" t="s">
        <v>159</v>
      </c>
      <c r="D526" s="268" t="s">
        <v>81</v>
      </c>
      <c r="E526" s="268" t="s">
        <v>373</v>
      </c>
      <c r="F526" s="268" t="s">
        <v>152</v>
      </c>
      <c r="G526" s="337"/>
      <c r="H526" s="337"/>
      <c r="I526" s="337" t="e">
        <f t="shared" si="49"/>
        <v>#DIV/0!</v>
      </c>
    </row>
    <row r="527" spans="1:10" ht="33.75" customHeight="1" x14ac:dyDescent="0.25">
      <c r="A527" s="116" t="s">
        <v>1062</v>
      </c>
      <c r="B527" s="432">
        <v>903</v>
      </c>
      <c r="C527" s="481" t="s">
        <v>159</v>
      </c>
      <c r="D527" s="481" t="s">
        <v>81</v>
      </c>
      <c r="E527" s="481" t="s">
        <v>165</v>
      </c>
      <c r="F527" s="268"/>
      <c r="G527" s="337">
        <f>G528</f>
        <v>279.90001000000001</v>
      </c>
      <c r="H527" s="337">
        <f>H528</f>
        <v>279.90001000000001</v>
      </c>
      <c r="I527" s="337">
        <f t="shared" si="49"/>
        <v>100</v>
      </c>
    </row>
    <row r="528" spans="1:10" ht="39.75" customHeight="1" x14ac:dyDescent="0.25">
      <c r="A528" s="335" t="s">
        <v>166</v>
      </c>
      <c r="B528" s="482">
        <v>903</v>
      </c>
      <c r="C528" s="268" t="s">
        <v>159</v>
      </c>
      <c r="D528" s="268" t="s">
        <v>81</v>
      </c>
      <c r="E528" s="268" t="s">
        <v>474</v>
      </c>
      <c r="F528" s="268" t="s">
        <v>150</v>
      </c>
      <c r="G528" s="337">
        <f>G529</f>
        <v>279.90001000000001</v>
      </c>
      <c r="H528" s="337">
        <f>H529</f>
        <v>279.90001000000001</v>
      </c>
      <c r="I528" s="337">
        <f t="shared" si="49"/>
        <v>100</v>
      </c>
    </row>
    <row r="529" spans="1:10" ht="15.75" x14ac:dyDescent="0.25">
      <c r="A529" s="335" t="s">
        <v>151</v>
      </c>
      <c r="B529" s="482">
        <v>903</v>
      </c>
      <c r="C529" s="268" t="s">
        <v>159</v>
      </c>
      <c r="D529" s="268" t="s">
        <v>81</v>
      </c>
      <c r="E529" s="268" t="s">
        <v>474</v>
      </c>
      <c r="F529" s="268" t="s">
        <v>152</v>
      </c>
      <c r="G529" s="337">
        <f>184.6-0.03999+50-50+95.34</f>
        <v>279.90001000000001</v>
      </c>
      <c r="H529" s="337">
        <v>279.90001000000001</v>
      </c>
      <c r="I529" s="337">
        <f t="shared" si="49"/>
        <v>100</v>
      </c>
      <c r="J529" s="341"/>
    </row>
    <row r="530" spans="1:10" ht="47.25" x14ac:dyDescent="0.25">
      <c r="A530" s="130" t="s">
        <v>853</v>
      </c>
      <c r="B530" s="432">
        <v>903</v>
      </c>
      <c r="C530" s="481" t="s">
        <v>159</v>
      </c>
      <c r="D530" s="481" t="s">
        <v>81</v>
      </c>
      <c r="E530" s="481" t="s">
        <v>259</v>
      </c>
      <c r="F530" s="487"/>
      <c r="G530" s="338">
        <f t="shared" ref="G530:H533" si="50">G531</f>
        <v>840.43831999999998</v>
      </c>
      <c r="H530" s="338">
        <f t="shared" si="50"/>
        <v>840.43831999999998</v>
      </c>
      <c r="I530" s="338">
        <f t="shared" si="49"/>
        <v>100</v>
      </c>
    </row>
    <row r="531" spans="1:10" ht="47.25" x14ac:dyDescent="0.25">
      <c r="A531" s="130" t="s">
        <v>341</v>
      </c>
      <c r="B531" s="432">
        <v>903</v>
      </c>
      <c r="C531" s="481" t="s">
        <v>159</v>
      </c>
      <c r="D531" s="481" t="s">
        <v>81</v>
      </c>
      <c r="E531" s="481" t="s">
        <v>339</v>
      </c>
      <c r="F531" s="486"/>
      <c r="G531" s="338">
        <f>G532+G535</f>
        <v>840.43831999999998</v>
      </c>
      <c r="H531" s="338">
        <f>H532+H535</f>
        <v>840.43831999999998</v>
      </c>
      <c r="I531" s="338">
        <f t="shared" si="49"/>
        <v>100</v>
      </c>
    </row>
    <row r="532" spans="1:10" ht="31.5" x14ac:dyDescent="0.25">
      <c r="A532" s="26" t="s">
        <v>449</v>
      </c>
      <c r="B532" s="482">
        <v>903</v>
      </c>
      <c r="C532" s="268" t="s">
        <v>159</v>
      </c>
      <c r="D532" s="268" t="s">
        <v>81</v>
      </c>
      <c r="E532" s="268" t="s">
        <v>340</v>
      </c>
      <c r="F532" s="487"/>
      <c r="G532" s="337">
        <f t="shared" si="50"/>
        <v>476.08296000000001</v>
      </c>
      <c r="H532" s="337">
        <f t="shared" si="50"/>
        <v>476.08296000000001</v>
      </c>
      <c r="I532" s="337">
        <f t="shared" si="49"/>
        <v>100</v>
      </c>
    </row>
    <row r="533" spans="1:10" ht="31.5" x14ac:dyDescent="0.25">
      <c r="A533" s="335" t="s">
        <v>88</v>
      </c>
      <c r="B533" s="482">
        <v>903</v>
      </c>
      <c r="C533" s="268" t="s">
        <v>159</v>
      </c>
      <c r="D533" s="268" t="s">
        <v>81</v>
      </c>
      <c r="E533" s="268" t="s">
        <v>340</v>
      </c>
      <c r="F533" s="487" t="s">
        <v>89</v>
      </c>
      <c r="G533" s="337">
        <f t="shared" si="50"/>
        <v>476.08296000000001</v>
      </c>
      <c r="H533" s="337">
        <f t="shared" si="50"/>
        <v>476.08296000000001</v>
      </c>
      <c r="I533" s="337">
        <f t="shared" si="49"/>
        <v>100</v>
      </c>
    </row>
    <row r="534" spans="1:10" ht="31.5" x14ac:dyDescent="0.25">
      <c r="A534" s="335" t="s">
        <v>90</v>
      </c>
      <c r="B534" s="482">
        <v>903</v>
      </c>
      <c r="C534" s="268" t="s">
        <v>159</v>
      </c>
      <c r="D534" s="268" t="s">
        <v>81</v>
      </c>
      <c r="E534" s="268" t="s">
        <v>340</v>
      </c>
      <c r="F534" s="487" t="s">
        <v>91</v>
      </c>
      <c r="G534" s="337">
        <f>506.8-23.5-6-0.07974-1.1373</f>
        <v>476.08296000000001</v>
      </c>
      <c r="H534" s="337">
        <v>476.08296000000001</v>
      </c>
      <c r="I534" s="337">
        <f t="shared" si="49"/>
        <v>100</v>
      </c>
      <c r="J534" s="341"/>
    </row>
    <row r="535" spans="1:10" ht="30.75" customHeight="1" x14ac:dyDescent="0.25">
      <c r="A535" s="335" t="s">
        <v>274</v>
      </c>
      <c r="B535" s="482">
        <v>903</v>
      </c>
      <c r="C535" s="268" t="s">
        <v>159</v>
      </c>
      <c r="D535" s="268" t="s">
        <v>81</v>
      </c>
      <c r="E535" s="268" t="s">
        <v>374</v>
      </c>
      <c r="F535" s="487"/>
      <c r="G535" s="337">
        <f>G536</f>
        <v>364.35535999999996</v>
      </c>
      <c r="H535" s="337">
        <f>H536</f>
        <v>364.35536000000002</v>
      </c>
      <c r="I535" s="337">
        <f t="shared" si="49"/>
        <v>100.00000000000003</v>
      </c>
    </row>
    <row r="536" spans="1:10" ht="31.5" x14ac:dyDescent="0.25">
      <c r="A536" s="335" t="s">
        <v>149</v>
      </c>
      <c r="B536" s="482">
        <v>903</v>
      </c>
      <c r="C536" s="268" t="s">
        <v>159</v>
      </c>
      <c r="D536" s="268" t="s">
        <v>81</v>
      </c>
      <c r="E536" s="268" t="s">
        <v>374</v>
      </c>
      <c r="F536" s="487" t="s">
        <v>150</v>
      </c>
      <c r="G536" s="337">
        <f>G537</f>
        <v>364.35535999999996</v>
      </c>
      <c r="H536" s="337">
        <f>H537</f>
        <v>364.35536000000002</v>
      </c>
      <c r="I536" s="337">
        <f t="shared" si="49"/>
        <v>100.00000000000003</v>
      </c>
    </row>
    <row r="537" spans="1:10" ht="15.75" x14ac:dyDescent="0.25">
      <c r="A537" s="335" t="s">
        <v>151</v>
      </c>
      <c r="B537" s="482">
        <v>903</v>
      </c>
      <c r="C537" s="268" t="s">
        <v>159</v>
      </c>
      <c r="D537" s="268" t="s">
        <v>81</v>
      </c>
      <c r="E537" s="268" t="s">
        <v>374</v>
      </c>
      <c r="F537" s="487" t="s">
        <v>152</v>
      </c>
      <c r="G537" s="337">
        <f>371.9-10+2.45536</f>
        <v>364.35535999999996</v>
      </c>
      <c r="H537" s="337">
        <v>364.35536000000002</v>
      </c>
      <c r="I537" s="337">
        <f t="shared" si="49"/>
        <v>100.00000000000003</v>
      </c>
    </row>
    <row r="538" spans="1:10" ht="15.75" x14ac:dyDescent="0.25">
      <c r="A538" s="116" t="s">
        <v>164</v>
      </c>
      <c r="B538" s="432">
        <v>903</v>
      </c>
      <c r="C538" s="481" t="s">
        <v>159</v>
      </c>
      <c r="D538" s="481" t="s">
        <v>103</v>
      </c>
      <c r="E538" s="481"/>
      <c r="F538" s="481"/>
      <c r="G538" s="338">
        <f>G539+G560+G578+G584</f>
        <v>23356.858649999998</v>
      </c>
      <c r="H538" s="338">
        <f>H539+H560+H578+H584</f>
        <v>23356.858090000002</v>
      </c>
      <c r="I538" s="338">
        <f t="shared" si="49"/>
        <v>99.999997602417324</v>
      </c>
    </row>
    <row r="539" spans="1:10" ht="31.5" x14ac:dyDescent="0.25">
      <c r="A539" s="116" t="s">
        <v>362</v>
      </c>
      <c r="B539" s="432">
        <v>903</v>
      </c>
      <c r="C539" s="481" t="s">
        <v>159</v>
      </c>
      <c r="D539" s="481" t="s">
        <v>103</v>
      </c>
      <c r="E539" s="481" t="s">
        <v>321</v>
      </c>
      <c r="F539" s="481"/>
      <c r="G539" s="338">
        <f>G540</f>
        <v>10360.039059999999</v>
      </c>
      <c r="H539" s="338">
        <f>H540</f>
        <v>10360.039060000001</v>
      </c>
      <c r="I539" s="338">
        <f t="shared" si="49"/>
        <v>100.00000000000003</v>
      </c>
    </row>
    <row r="540" spans="1:10" ht="15.75" x14ac:dyDescent="0.25">
      <c r="A540" s="116" t="s">
        <v>363</v>
      </c>
      <c r="B540" s="432">
        <v>903</v>
      </c>
      <c r="C540" s="481" t="s">
        <v>159</v>
      </c>
      <c r="D540" s="481" t="s">
        <v>103</v>
      </c>
      <c r="E540" s="481" t="s">
        <v>322</v>
      </c>
      <c r="F540" s="481"/>
      <c r="G540" s="338">
        <f>G541+G551+G548+G554+G557</f>
        <v>10360.039059999999</v>
      </c>
      <c r="H540" s="338">
        <f>H541+H551+H548+H554+H557</f>
        <v>10360.039060000001</v>
      </c>
      <c r="I540" s="338">
        <f t="shared" si="49"/>
        <v>100.00000000000003</v>
      </c>
    </row>
    <row r="541" spans="1:10" ht="31.5" customHeight="1" x14ac:dyDescent="0.25">
      <c r="A541" s="335" t="s">
        <v>346</v>
      </c>
      <c r="B541" s="482">
        <v>903</v>
      </c>
      <c r="C541" s="268" t="s">
        <v>159</v>
      </c>
      <c r="D541" s="268" t="s">
        <v>103</v>
      </c>
      <c r="E541" s="268" t="s">
        <v>323</v>
      </c>
      <c r="F541" s="268"/>
      <c r="G541" s="337">
        <f>G542+G544+G546</f>
        <v>10044.556269999999</v>
      </c>
      <c r="H541" s="337">
        <f>H542+H544+H546</f>
        <v>10044.556270000001</v>
      </c>
      <c r="I541" s="337">
        <f t="shared" si="49"/>
        <v>100.00000000000003</v>
      </c>
    </row>
    <row r="542" spans="1:10" ht="78.75" x14ac:dyDescent="0.25">
      <c r="A542" s="335" t="s">
        <v>84</v>
      </c>
      <c r="B542" s="482">
        <v>903</v>
      </c>
      <c r="C542" s="268" t="s">
        <v>159</v>
      </c>
      <c r="D542" s="268" t="s">
        <v>103</v>
      </c>
      <c r="E542" s="268" t="s">
        <v>323</v>
      </c>
      <c r="F542" s="268" t="s">
        <v>85</v>
      </c>
      <c r="G542" s="337">
        <f>G543</f>
        <v>8842.5984999999982</v>
      </c>
      <c r="H542" s="337">
        <f>H543</f>
        <v>8842.5985000000001</v>
      </c>
      <c r="I542" s="337">
        <f t="shared" si="49"/>
        <v>100.00000000000003</v>
      </c>
    </row>
    <row r="543" spans="1:10" ht="31.5" x14ac:dyDescent="0.25">
      <c r="A543" s="335" t="s">
        <v>86</v>
      </c>
      <c r="B543" s="482">
        <v>903</v>
      </c>
      <c r="C543" s="268" t="s">
        <v>159</v>
      </c>
      <c r="D543" s="268" t="s">
        <v>103</v>
      </c>
      <c r="E543" s="268" t="s">
        <v>323</v>
      </c>
      <c r="F543" s="268" t="s">
        <v>87</v>
      </c>
      <c r="G543" s="271">
        <f>11213.71+11.8-255.1+6-60-35.36-3.6-421.90248+6.48-590.9-68.1-381.354-43.07819+130.08+39.28-5.26-382.62524-317.47159</f>
        <v>8842.5984999999982</v>
      </c>
      <c r="H543" s="271">
        <v>8842.5985000000001</v>
      </c>
      <c r="I543" s="337">
        <f t="shared" si="49"/>
        <v>100.00000000000003</v>
      </c>
      <c r="J543" s="341"/>
    </row>
    <row r="544" spans="1:10" ht="31.5" x14ac:dyDescent="0.25">
      <c r="A544" s="335" t="s">
        <v>88</v>
      </c>
      <c r="B544" s="482">
        <v>903</v>
      </c>
      <c r="C544" s="268" t="s">
        <v>159</v>
      </c>
      <c r="D544" s="268" t="s">
        <v>103</v>
      </c>
      <c r="E544" s="268" t="s">
        <v>323</v>
      </c>
      <c r="F544" s="268" t="s">
        <v>89</v>
      </c>
      <c r="G544" s="337">
        <f>G545</f>
        <v>1188.0357699999997</v>
      </c>
      <c r="H544" s="337">
        <f>H545</f>
        <v>1188.03577</v>
      </c>
      <c r="I544" s="337">
        <f t="shared" si="49"/>
        <v>100.00000000000003</v>
      </c>
    </row>
    <row r="545" spans="1:10" ht="31.5" x14ac:dyDescent="0.25">
      <c r="A545" s="335" t="s">
        <v>90</v>
      </c>
      <c r="B545" s="482">
        <v>903</v>
      </c>
      <c r="C545" s="268" t="s">
        <v>159</v>
      </c>
      <c r="D545" s="268" t="s">
        <v>103</v>
      </c>
      <c r="E545" s="268" t="s">
        <v>323</v>
      </c>
      <c r="F545" s="268" t="s">
        <v>91</v>
      </c>
      <c r="G545" s="337">
        <f>1173.05+1+20.3+3.6+397.9+1+15.41964+370.6-11.08278-0.00034-768.5-9.82481-5.42594</f>
        <v>1188.0357699999997</v>
      </c>
      <c r="H545" s="337">
        <v>1188.03577</v>
      </c>
      <c r="I545" s="337">
        <f t="shared" si="49"/>
        <v>100.00000000000003</v>
      </c>
      <c r="J545" s="341"/>
    </row>
    <row r="546" spans="1:10" ht="15.75" x14ac:dyDescent="0.25">
      <c r="A546" s="335" t="s">
        <v>92</v>
      </c>
      <c r="B546" s="482">
        <v>903</v>
      </c>
      <c r="C546" s="268" t="s">
        <v>159</v>
      </c>
      <c r="D546" s="268" t="s">
        <v>103</v>
      </c>
      <c r="E546" s="268" t="s">
        <v>323</v>
      </c>
      <c r="F546" s="268" t="s">
        <v>98</v>
      </c>
      <c r="G546" s="337">
        <f>G547</f>
        <v>13.922000000000001</v>
      </c>
      <c r="H546" s="337">
        <f>H547</f>
        <v>13.922000000000001</v>
      </c>
      <c r="I546" s="337">
        <f t="shared" si="49"/>
        <v>100</v>
      </c>
    </row>
    <row r="547" spans="1:10" ht="24.75" customHeight="1" x14ac:dyDescent="0.25">
      <c r="A547" s="335" t="s">
        <v>223</v>
      </c>
      <c r="B547" s="482">
        <v>903</v>
      </c>
      <c r="C547" s="268" t="s">
        <v>159</v>
      </c>
      <c r="D547" s="268" t="s">
        <v>103</v>
      </c>
      <c r="E547" s="268" t="s">
        <v>323</v>
      </c>
      <c r="F547" s="268" t="s">
        <v>94</v>
      </c>
      <c r="G547" s="337">
        <f>14-0.078</f>
        <v>13.922000000000001</v>
      </c>
      <c r="H547" s="337">
        <v>13.922000000000001</v>
      </c>
      <c r="I547" s="337">
        <f t="shared" si="49"/>
        <v>100</v>
      </c>
      <c r="J547" s="341"/>
    </row>
    <row r="548" spans="1:10" ht="31.5" x14ac:dyDescent="0.25">
      <c r="A548" s="335" t="s">
        <v>305</v>
      </c>
      <c r="B548" s="482">
        <v>903</v>
      </c>
      <c r="C548" s="268" t="s">
        <v>159</v>
      </c>
      <c r="D548" s="268" t="s">
        <v>103</v>
      </c>
      <c r="E548" s="268" t="s">
        <v>324</v>
      </c>
      <c r="F548" s="268"/>
      <c r="G548" s="337">
        <f>G549</f>
        <v>236.61482000000009</v>
      </c>
      <c r="H548" s="337">
        <f>H549</f>
        <v>236.61482000000001</v>
      </c>
      <c r="I548" s="337">
        <f t="shared" si="49"/>
        <v>99.999999999999972</v>
      </c>
    </row>
    <row r="549" spans="1:10" ht="78.75" x14ac:dyDescent="0.25">
      <c r="A549" s="335" t="s">
        <v>84</v>
      </c>
      <c r="B549" s="482">
        <v>903</v>
      </c>
      <c r="C549" s="268" t="s">
        <v>159</v>
      </c>
      <c r="D549" s="268" t="s">
        <v>103</v>
      </c>
      <c r="E549" s="268" t="s">
        <v>324</v>
      </c>
      <c r="F549" s="268" t="s">
        <v>85</v>
      </c>
      <c r="G549" s="337">
        <f>G550</f>
        <v>236.61482000000009</v>
      </c>
      <c r="H549" s="337">
        <f>H550</f>
        <v>236.61482000000001</v>
      </c>
      <c r="I549" s="337">
        <f t="shared" si="49"/>
        <v>99.999999999999972</v>
      </c>
    </row>
    <row r="550" spans="1:10" ht="31.5" x14ac:dyDescent="0.25">
      <c r="A550" s="335" t="s">
        <v>86</v>
      </c>
      <c r="B550" s="482">
        <v>903</v>
      </c>
      <c r="C550" s="268" t="s">
        <v>159</v>
      </c>
      <c r="D550" s="268" t="s">
        <v>103</v>
      </c>
      <c r="E550" s="268" t="s">
        <v>324</v>
      </c>
      <c r="F550" s="268" t="s">
        <v>87</v>
      </c>
      <c r="G550" s="337">
        <f>1248.9-959.2-128.1+128.1-289.7+453.8+137.1-159.384-100-78.2-12.68419-4.01699+5.15+1.56-5.15-1.56</f>
        <v>236.61482000000009</v>
      </c>
      <c r="H550" s="337">
        <v>236.61482000000001</v>
      </c>
      <c r="I550" s="337">
        <f t="shared" si="49"/>
        <v>99.999999999999972</v>
      </c>
      <c r="J550" s="341"/>
    </row>
    <row r="551" spans="1:10" ht="31.5" hidden="1" x14ac:dyDescent="0.25">
      <c r="A551" s="335" t="s">
        <v>304</v>
      </c>
      <c r="B551" s="482">
        <v>903</v>
      </c>
      <c r="C551" s="268" t="s">
        <v>159</v>
      </c>
      <c r="D551" s="268" t="s">
        <v>103</v>
      </c>
      <c r="E551" s="268" t="s">
        <v>325</v>
      </c>
      <c r="F551" s="268"/>
      <c r="G551" s="337">
        <f>G552</f>
        <v>0</v>
      </c>
      <c r="H551" s="337">
        <f>H552</f>
        <v>0</v>
      </c>
      <c r="I551" s="337" t="e">
        <f t="shared" si="49"/>
        <v>#DIV/0!</v>
      </c>
    </row>
    <row r="552" spans="1:10" ht="78.75" hidden="1" x14ac:dyDescent="0.25">
      <c r="A552" s="335" t="s">
        <v>84</v>
      </c>
      <c r="B552" s="482">
        <v>903</v>
      </c>
      <c r="C552" s="268" t="s">
        <v>159</v>
      </c>
      <c r="D552" s="268" t="s">
        <v>103</v>
      </c>
      <c r="E552" s="268" t="s">
        <v>325</v>
      </c>
      <c r="F552" s="268" t="s">
        <v>85</v>
      </c>
      <c r="G552" s="337">
        <f>G553</f>
        <v>0</v>
      </c>
      <c r="H552" s="337">
        <f>H553</f>
        <v>0</v>
      </c>
      <c r="I552" s="337" t="e">
        <f t="shared" si="49"/>
        <v>#DIV/0!</v>
      </c>
    </row>
    <row r="553" spans="1:10" ht="31.5" hidden="1" x14ac:dyDescent="0.25">
      <c r="A553" s="335" t="s">
        <v>86</v>
      </c>
      <c r="B553" s="482">
        <v>903</v>
      </c>
      <c r="C553" s="268" t="s">
        <v>159</v>
      </c>
      <c r="D553" s="268" t="s">
        <v>103</v>
      </c>
      <c r="E553" s="268" t="s">
        <v>325</v>
      </c>
      <c r="F553" s="268" t="s">
        <v>87</v>
      </c>
      <c r="G553" s="337">
        <f>430-129-47-40-94-60-60</f>
        <v>0</v>
      </c>
      <c r="H553" s="337">
        <f>430-129-47-40-94-60-60</f>
        <v>0</v>
      </c>
      <c r="I553" s="337" t="e">
        <f t="shared" si="49"/>
        <v>#DIV/0!</v>
      </c>
      <c r="J553" s="341"/>
    </row>
    <row r="554" spans="1:10" ht="31.5" x14ac:dyDescent="0.25">
      <c r="A554" s="335" t="s">
        <v>1085</v>
      </c>
      <c r="B554" s="482">
        <v>903</v>
      </c>
      <c r="C554" s="268" t="s">
        <v>159</v>
      </c>
      <c r="D554" s="268" t="s">
        <v>103</v>
      </c>
      <c r="E554" s="268" t="s">
        <v>1081</v>
      </c>
      <c r="F554" s="268"/>
      <c r="G554" s="337">
        <f>G555</f>
        <v>39.06</v>
      </c>
      <c r="H554" s="337">
        <f>H555</f>
        <v>39.06</v>
      </c>
      <c r="I554" s="337">
        <f t="shared" si="49"/>
        <v>100</v>
      </c>
      <c r="J554" s="341"/>
    </row>
    <row r="555" spans="1:10" ht="78.75" x14ac:dyDescent="0.25">
      <c r="A555" s="335" t="s">
        <v>84</v>
      </c>
      <c r="B555" s="482">
        <v>903</v>
      </c>
      <c r="C555" s="268" t="s">
        <v>159</v>
      </c>
      <c r="D555" s="268" t="s">
        <v>103</v>
      </c>
      <c r="E555" s="268" t="s">
        <v>1081</v>
      </c>
      <c r="F555" s="268" t="s">
        <v>85</v>
      </c>
      <c r="G555" s="337">
        <f>G556</f>
        <v>39.06</v>
      </c>
      <c r="H555" s="337">
        <f>H556</f>
        <v>39.06</v>
      </c>
      <c r="I555" s="337">
        <f t="shared" si="49"/>
        <v>100</v>
      </c>
      <c r="J555" s="341"/>
    </row>
    <row r="556" spans="1:10" ht="31.5" x14ac:dyDescent="0.25">
      <c r="A556" s="335" t="s">
        <v>86</v>
      </c>
      <c r="B556" s="482">
        <v>903</v>
      </c>
      <c r="C556" s="268" t="s">
        <v>159</v>
      </c>
      <c r="D556" s="268" t="s">
        <v>103</v>
      </c>
      <c r="E556" s="268" t="s">
        <v>1081</v>
      </c>
      <c r="F556" s="268" t="s">
        <v>87</v>
      </c>
      <c r="G556" s="337">
        <v>39.06</v>
      </c>
      <c r="H556" s="337">
        <v>39.06</v>
      </c>
      <c r="I556" s="337">
        <f t="shared" si="49"/>
        <v>100</v>
      </c>
      <c r="J556" s="341"/>
    </row>
    <row r="557" spans="1:10" ht="47.25" x14ac:dyDescent="0.25">
      <c r="A557" s="335" t="s">
        <v>1107</v>
      </c>
      <c r="B557" s="482">
        <v>903</v>
      </c>
      <c r="C557" s="268" t="s">
        <v>159</v>
      </c>
      <c r="D557" s="268" t="s">
        <v>103</v>
      </c>
      <c r="E557" s="268" t="s">
        <v>1106</v>
      </c>
      <c r="F557" s="268"/>
      <c r="G557" s="337">
        <f>G558</f>
        <v>39.807969999999997</v>
      </c>
      <c r="H557" s="337">
        <f>H558</f>
        <v>39.807969999999997</v>
      </c>
      <c r="I557" s="337">
        <f t="shared" si="49"/>
        <v>100</v>
      </c>
      <c r="J557" s="341"/>
    </row>
    <row r="558" spans="1:10" ht="78.75" x14ac:dyDescent="0.25">
      <c r="A558" s="335" t="s">
        <v>84</v>
      </c>
      <c r="B558" s="482">
        <v>903</v>
      </c>
      <c r="C558" s="268" t="s">
        <v>159</v>
      </c>
      <c r="D558" s="268" t="s">
        <v>103</v>
      </c>
      <c r="E558" s="268" t="s">
        <v>1106</v>
      </c>
      <c r="F558" s="268" t="s">
        <v>85</v>
      </c>
      <c r="G558" s="337">
        <f>G559</f>
        <v>39.807969999999997</v>
      </c>
      <c r="H558" s="337">
        <f>H559</f>
        <v>39.807969999999997</v>
      </c>
      <c r="I558" s="337">
        <f t="shared" si="49"/>
        <v>100</v>
      </c>
      <c r="J558" s="341"/>
    </row>
    <row r="559" spans="1:10" ht="31.5" x14ac:dyDescent="0.25">
      <c r="A559" s="335" t="s">
        <v>86</v>
      </c>
      <c r="B559" s="482">
        <v>903</v>
      </c>
      <c r="C559" s="268" t="s">
        <v>159</v>
      </c>
      <c r="D559" s="268" t="s">
        <v>103</v>
      </c>
      <c r="E559" s="268" t="s">
        <v>1106</v>
      </c>
      <c r="F559" s="268" t="s">
        <v>87</v>
      </c>
      <c r="G559" s="337">
        <f>30.85888+8.94909</f>
        <v>39.807969999999997</v>
      </c>
      <c r="H559" s="337">
        <v>39.807969999999997</v>
      </c>
      <c r="I559" s="337">
        <f t="shared" si="49"/>
        <v>100</v>
      </c>
    </row>
    <row r="560" spans="1:10" ht="15.75" x14ac:dyDescent="0.25">
      <c r="A560" s="116" t="s">
        <v>369</v>
      </c>
      <c r="B560" s="432">
        <v>903</v>
      </c>
      <c r="C560" s="481" t="s">
        <v>159</v>
      </c>
      <c r="D560" s="481" t="s">
        <v>103</v>
      </c>
      <c r="E560" s="481" t="s">
        <v>329</v>
      </c>
      <c r="F560" s="481"/>
      <c r="G560" s="338">
        <f>G561</f>
        <v>12695.904589999998</v>
      </c>
      <c r="H560" s="338">
        <f>H561</f>
        <v>12695.904030000002</v>
      </c>
      <c r="I560" s="338">
        <f t="shared" si="49"/>
        <v>99.999995589128815</v>
      </c>
    </row>
    <row r="561" spans="1:10" ht="15.75" x14ac:dyDescent="0.25">
      <c r="A561" s="116" t="s">
        <v>736</v>
      </c>
      <c r="B561" s="432">
        <v>903</v>
      </c>
      <c r="C561" s="481" t="s">
        <v>159</v>
      </c>
      <c r="D561" s="481" t="s">
        <v>103</v>
      </c>
      <c r="E561" s="481" t="s">
        <v>384</v>
      </c>
      <c r="F561" s="481"/>
      <c r="G561" s="338">
        <f>G562+G565+G572+G575</f>
        <v>12695.904589999998</v>
      </c>
      <c r="H561" s="338">
        <f>H562+H565+H572+H575</f>
        <v>12695.904030000002</v>
      </c>
      <c r="I561" s="338">
        <f t="shared" si="49"/>
        <v>99.999995589128815</v>
      </c>
    </row>
    <row r="562" spans="1:10" ht="31.5" x14ac:dyDescent="0.25">
      <c r="A562" s="335" t="s">
        <v>304</v>
      </c>
      <c r="B562" s="482">
        <v>903</v>
      </c>
      <c r="C562" s="268" t="s">
        <v>159</v>
      </c>
      <c r="D562" s="268" t="s">
        <v>103</v>
      </c>
      <c r="E562" s="268" t="s">
        <v>387</v>
      </c>
      <c r="F562" s="268"/>
      <c r="G562" s="337">
        <f>G563</f>
        <v>293.286</v>
      </c>
      <c r="H562" s="337">
        <f>H563</f>
        <v>293.286</v>
      </c>
      <c r="I562" s="337">
        <f t="shared" si="49"/>
        <v>100</v>
      </c>
    </row>
    <row r="563" spans="1:10" ht="78.75" x14ac:dyDescent="0.25">
      <c r="A563" s="335" t="s">
        <v>84</v>
      </c>
      <c r="B563" s="482">
        <v>903</v>
      </c>
      <c r="C563" s="268" t="s">
        <v>159</v>
      </c>
      <c r="D563" s="268" t="s">
        <v>103</v>
      </c>
      <c r="E563" s="268" t="s">
        <v>387</v>
      </c>
      <c r="F563" s="268" t="s">
        <v>85</v>
      </c>
      <c r="G563" s="337">
        <f>G564</f>
        <v>293.286</v>
      </c>
      <c r="H563" s="337">
        <f>H564</f>
        <v>293.286</v>
      </c>
      <c r="I563" s="337">
        <f t="shared" si="49"/>
        <v>100</v>
      </c>
    </row>
    <row r="564" spans="1:10" ht="35.25" customHeight="1" x14ac:dyDescent="0.25">
      <c r="A564" s="335" t="s">
        <v>168</v>
      </c>
      <c r="B564" s="482">
        <v>903</v>
      </c>
      <c r="C564" s="268" t="s">
        <v>159</v>
      </c>
      <c r="D564" s="268" t="s">
        <v>103</v>
      </c>
      <c r="E564" s="268" t="s">
        <v>387</v>
      </c>
      <c r="F564" s="268" t="s">
        <v>117</v>
      </c>
      <c r="G564" s="337">
        <f>215+86+60-2.984-64.73</f>
        <v>293.286</v>
      </c>
      <c r="H564" s="337">
        <v>293.286</v>
      </c>
      <c r="I564" s="337">
        <f t="shared" si="49"/>
        <v>100</v>
      </c>
      <c r="J564" s="341"/>
    </row>
    <row r="565" spans="1:10" ht="15.75" x14ac:dyDescent="0.25">
      <c r="A565" s="335" t="s">
        <v>283</v>
      </c>
      <c r="B565" s="482">
        <v>903</v>
      </c>
      <c r="C565" s="268" t="s">
        <v>159</v>
      </c>
      <c r="D565" s="268" t="s">
        <v>103</v>
      </c>
      <c r="E565" s="268" t="s">
        <v>386</v>
      </c>
      <c r="F565" s="268"/>
      <c r="G565" s="337">
        <f>G566+G568+G570</f>
        <v>12168.868589999998</v>
      </c>
      <c r="H565" s="337">
        <f>H566+H568+H570</f>
        <v>12168.868030000001</v>
      </c>
      <c r="I565" s="337">
        <f t="shared" si="49"/>
        <v>99.999995398093162</v>
      </c>
    </row>
    <row r="566" spans="1:10" ht="78.75" x14ac:dyDescent="0.25">
      <c r="A566" s="335" t="s">
        <v>84</v>
      </c>
      <c r="B566" s="482">
        <v>903</v>
      </c>
      <c r="C566" s="268" t="s">
        <v>159</v>
      </c>
      <c r="D566" s="268" t="s">
        <v>103</v>
      </c>
      <c r="E566" s="268" t="s">
        <v>386</v>
      </c>
      <c r="F566" s="268" t="s">
        <v>85</v>
      </c>
      <c r="G566" s="337">
        <f>G567</f>
        <v>11628.807999999999</v>
      </c>
      <c r="H566" s="337">
        <f>H567</f>
        <v>11628.808000000001</v>
      </c>
      <c r="I566" s="337">
        <f t="shared" si="49"/>
        <v>100.00000000000003</v>
      </c>
    </row>
    <row r="567" spans="1:10" ht="21.2" customHeight="1" x14ac:dyDescent="0.25">
      <c r="A567" s="335" t="s">
        <v>168</v>
      </c>
      <c r="B567" s="482">
        <v>903</v>
      </c>
      <c r="C567" s="268" t="s">
        <v>159</v>
      </c>
      <c r="D567" s="268" t="s">
        <v>103</v>
      </c>
      <c r="E567" s="268" t="s">
        <v>386</v>
      </c>
      <c r="F567" s="268" t="s">
        <v>117</v>
      </c>
      <c r="G567" s="271">
        <f>11029.5+16.578+78.2+124.73+264.4+115.4</f>
        <v>11628.807999999999</v>
      </c>
      <c r="H567" s="271">
        <v>11628.808000000001</v>
      </c>
      <c r="I567" s="337">
        <f t="shared" si="49"/>
        <v>100.00000000000003</v>
      </c>
      <c r="J567" s="341"/>
    </row>
    <row r="568" spans="1:10" ht="31.5" x14ac:dyDescent="0.25">
      <c r="A568" s="335" t="s">
        <v>88</v>
      </c>
      <c r="B568" s="482">
        <v>903</v>
      </c>
      <c r="C568" s="268" t="s">
        <v>159</v>
      </c>
      <c r="D568" s="268" t="s">
        <v>103</v>
      </c>
      <c r="E568" s="268" t="s">
        <v>386</v>
      </c>
      <c r="F568" s="268" t="s">
        <v>89</v>
      </c>
      <c r="G568" s="337">
        <f>G569</f>
        <v>540.06058999999993</v>
      </c>
      <c r="H568" s="337">
        <f>H569</f>
        <v>540.06002999999998</v>
      </c>
      <c r="I568" s="337">
        <f t="shared" si="49"/>
        <v>99.999896307930939</v>
      </c>
    </row>
    <row r="569" spans="1:10" ht="31.5" x14ac:dyDescent="0.25">
      <c r="A569" s="335" t="s">
        <v>90</v>
      </c>
      <c r="B569" s="482">
        <v>903</v>
      </c>
      <c r="C569" s="268" t="s">
        <v>159</v>
      </c>
      <c r="D569" s="268" t="s">
        <v>103</v>
      </c>
      <c r="E569" s="268" t="s">
        <v>386</v>
      </c>
      <c r="F569" s="268" t="s">
        <v>91</v>
      </c>
      <c r="G569" s="271">
        <f>378.46-10-1-1-9.86-5.718+2.984+22.458-22.55+22.39659+163.89</f>
        <v>540.06058999999993</v>
      </c>
      <c r="H569" s="271">
        <v>540.06002999999998</v>
      </c>
      <c r="I569" s="337">
        <f t="shared" si="49"/>
        <v>99.999896307930939</v>
      </c>
      <c r="J569" s="341"/>
    </row>
    <row r="570" spans="1:10" ht="15.75" hidden="1" x14ac:dyDescent="0.25">
      <c r="A570" s="335" t="s">
        <v>92</v>
      </c>
      <c r="B570" s="482">
        <v>903</v>
      </c>
      <c r="C570" s="268" t="s">
        <v>159</v>
      </c>
      <c r="D570" s="268" t="s">
        <v>103</v>
      </c>
      <c r="E570" s="268" t="s">
        <v>386</v>
      </c>
      <c r="F570" s="268" t="s">
        <v>98</v>
      </c>
      <c r="G570" s="337">
        <f>G571</f>
        <v>0</v>
      </c>
      <c r="H570" s="337">
        <f>H571</f>
        <v>0</v>
      </c>
      <c r="I570" s="337" t="e">
        <f t="shared" si="49"/>
        <v>#DIV/0!</v>
      </c>
    </row>
    <row r="571" spans="1:10" ht="15.75" hidden="1" x14ac:dyDescent="0.25">
      <c r="A571" s="335" t="s">
        <v>223</v>
      </c>
      <c r="B571" s="482">
        <v>903</v>
      </c>
      <c r="C571" s="268" t="s">
        <v>159</v>
      </c>
      <c r="D571" s="268" t="s">
        <v>103</v>
      </c>
      <c r="E571" s="268" t="s">
        <v>386</v>
      </c>
      <c r="F571" s="268" t="s">
        <v>94</v>
      </c>
      <c r="G571" s="337">
        <f>14-12-2</f>
        <v>0</v>
      </c>
      <c r="H571" s="337">
        <f>14-12-2</f>
        <v>0</v>
      </c>
      <c r="I571" s="337" t="e">
        <f t="shared" si="49"/>
        <v>#DIV/0!</v>
      </c>
    </row>
    <row r="572" spans="1:10" ht="31.5" x14ac:dyDescent="0.25">
      <c r="A572" s="335" t="s">
        <v>1085</v>
      </c>
      <c r="B572" s="482">
        <v>903</v>
      </c>
      <c r="C572" s="268" t="s">
        <v>159</v>
      </c>
      <c r="D572" s="268" t="s">
        <v>103</v>
      </c>
      <c r="E572" s="268" t="s">
        <v>1083</v>
      </c>
      <c r="F572" s="268"/>
      <c r="G572" s="337">
        <v>39.06</v>
      </c>
      <c r="H572" s="337">
        <f>H573</f>
        <v>39.06</v>
      </c>
      <c r="I572" s="337">
        <f t="shared" si="49"/>
        <v>100</v>
      </c>
    </row>
    <row r="573" spans="1:10" ht="78.75" x14ac:dyDescent="0.25">
      <c r="A573" s="335" t="s">
        <v>84</v>
      </c>
      <c r="B573" s="482">
        <v>903</v>
      </c>
      <c r="C573" s="268" t="s">
        <v>159</v>
      </c>
      <c r="D573" s="268" t="s">
        <v>103</v>
      </c>
      <c r="E573" s="268" t="s">
        <v>1083</v>
      </c>
      <c r="F573" s="268" t="s">
        <v>85</v>
      </c>
      <c r="G573" s="337">
        <v>39.06</v>
      </c>
      <c r="H573" s="337">
        <f>H574</f>
        <v>39.06</v>
      </c>
      <c r="I573" s="337">
        <f t="shared" si="49"/>
        <v>100</v>
      </c>
    </row>
    <row r="574" spans="1:10" ht="15.75" x14ac:dyDescent="0.25">
      <c r="A574" s="335" t="s">
        <v>168</v>
      </c>
      <c r="B574" s="482">
        <v>903</v>
      </c>
      <c r="C574" s="268" t="s">
        <v>159</v>
      </c>
      <c r="D574" s="268" t="s">
        <v>103</v>
      </c>
      <c r="E574" s="268" t="s">
        <v>1083</v>
      </c>
      <c r="F574" s="268" t="s">
        <v>117</v>
      </c>
      <c r="G574" s="337">
        <v>39.06</v>
      </c>
      <c r="H574" s="337">
        <v>39.06</v>
      </c>
      <c r="I574" s="337">
        <f t="shared" si="49"/>
        <v>100</v>
      </c>
    </row>
    <row r="575" spans="1:10" ht="31.5" x14ac:dyDescent="0.25">
      <c r="A575" s="335" t="s">
        <v>1118</v>
      </c>
      <c r="B575" s="482">
        <v>903</v>
      </c>
      <c r="C575" s="268" t="s">
        <v>159</v>
      </c>
      <c r="D575" s="268" t="s">
        <v>103</v>
      </c>
      <c r="E575" s="268" t="s">
        <v>1119</v>
      </c>
      <c r="F575" s="268"/>
      <c r="G575" s="337">
        <f>G576</f>
        <v>194.69</v>
      </c>
      <c r="H575" s="337">
        <f>H576</f>
        <v>194.69</v>
      </c>
      <c r="I575" s="337">
        <f t="shared" si="49"/>
        <v>100</v>
      </c>
    </row>
    <row r="576" spans="1:10" ht="65.25" customHeight="1" x14ac:dyDescent="0.25">
      <c r="A576" s="335" t="s">
        <v>84</v>
      </c>
      <c r="B576" s="482">
        <v>903</v>
      </c>
      <c r="C576" s="268" t="s">
        <v>159</v>
      </c>
      <c r="D576" s="268" t="s">
        <v>103</v>
      </c>
      <c r="E576" s="268" t="s">
        <v>1119</v>
      </c>
      <c r="F576" s="268" t="s">
        <v>85</v>
      </c>
      <c r="G576" s="337">
        <f>G577</f>
        <v>194.69</v>
      </c>
      <c r="H576" s="337">
        <f>H577</f>
        <v>194.69</v>
      </c>
      <c r="I576" s="337">
        <f t="shared" si="49"/>
        <v>100</v>
      </c>
    </row>
    <row r="577" spans="1:9" ht="15.75" x14ac:dyDescent="0.25">
      <c r="A577" s="335" t="s">
        <v>168</v>
      </c>
      <c r="B577" s="482">
        <v>903</v>
      </c>
      <c r="C577" s="268" t="s">
        <v>159</v>
      </c>
      <c r="D577" s="268" t="s">
        <v>103</v>
      </c>
      <c r="E577" s="268" t="s">
        <v>1119</v>
      </c>
      <c r="F577" s="268" t="s">
        <v>117</v>
      </c>
      <c r="G577" s="337">
        <f>149.53+45.16</f>
        <v>194.69</v>
      </c>
      <c r="H577" s="337">
        <v>194.69</v>
      </c>
      <c r="I577" s="337">
        <f t="shared" si="49"/>
        <v>100</v>
      </c>
    </row>
    <row r="578" spans="1:9" ht="48.2" customHeight="1" x14ac:dyDescent="0.25">
      <c r="A578" s="116" t="s">
        <v>882</v>
      </c>
      <c r="B578" s="432">
        <v>903</v>
      </c>
      <c r="C578" s="481" t="s">
        <v>159</v>
      </c>
      <c r="D578" s="481" t="s">
        <v>103</v>
      </c>
      <c r="E578" s="481" t="s">
        <v>169</v>
      </c>
      <c r="F578" s="481"/>
      <c r="G578" s="338">
        <f t="shared" ref="G578:H582" si="51">G579</f>
        <v>296.91499999999996</v>
      </c>
      <c r="H578" s="338">
        <f t="shared" si="51"/>
        <v>296.91500000000002</v>
      </c>
      <c r="I578" s="338">
        <f t="shared" si="49"/>
        <v>100.00000000000003</v>
      </c>
    </row>
    <row r="579" spans="1:9" ht="31.5" x14ac:dyDescent="0.25">
      <c r="A579" s="116" t="s">
        <v>906</v>
      </c>
      <c r="B579" s="432">
        <v>903</v>
      </c>
      <c r="C579" s="481" t="s">
        <v>159</v>
      </c>
      <c r="D579" s="481" t="s">
        <v>103</v>
      </c>
      <c r="E579" s="481" t="s">
        <v>178</v>
      </c>
      <c r="F579" s="481"/>
      <c r="G579" s="338">
        <f t="shared" si="51"/>
        <v>296.91499999999996</v>
      </c>
      <c r="H579" s="338">
        <f t="shared" si="51"/>
        <v>296.91500000000002</v>
      </c>
      <c r="I579" s="338">
        <f t="shared" si="49"/>
        <v>100.00000000000003</v>
      </c>
    </row>
    <row r="580" spans="1:9" ht="31.5" x14ac:dyDescent="0.25">
      <c r="A580" s="116" t="s">
        <v>426</v>
      </c>
      <c r="B580" s="432">
        <v>903</v>
      </c>
      <c r="C580" s="481" t="s">
        <v>159</v>
      </c>
      <c r="D580" s="481" t="s">
        <v>103</v>
      </c>
      <c r="E580" s="481" t="s">
        <v>573</v>
      </c>
      <c r="F580" s="481"/>
      <c r="G580" s="338">
        <f t="shared" si="51"/>
        <v>296.91499999999996</v>
      </c>
      <c r="H580" s="338">
        <f t="shared" si="51"/>
        <v>296.91500000000002</v>
      </c>
      <c r="I580" s="338">
        <f t="shared" si="49"/>
        <v>100.00000000000003</v>
      </c>
    </row>
    <row r="581" spans="1:9" ht="15.75" x14ac:dyDescent="0.25">
      <c r="A581" s="335" t="s">
        <v>425</v>
      </c>
      <c r="B581" s="482">
        <v>903</v>
      </c>
      <c r="C581" s="268" t="s">
        <v>159</v>
      </c>
      <c r="D581" s="268" t="s">
        <v>103</v>
      </c>
      <c r="E581" s="268" t="s">
        <v>574</v>
      </c>
      <c r="F581" s="268"/>
      <c r="G581" s="337">
        <f t="shared" si="51"/>
        <v>296.91499999999996</v>
      </c>
      <c r="H581" s="337">
        <f t="shared" si="51"/>
        <v>296.91500000000002</v>
      </c>
      <c r="I581" s="337">
        <f t="shared" si="49"/>
        <v>100.00000000000003</v>
      </c>
    </row>
    <row r="582" spans="1:9" ht="31.5" x14ac:dyDescent="0.25">
      <c r="A582" s="335" t="s">
        <v>88</v>
      </c>
      <c r="B582" s="482">
        <v>903</v>
      </c>
      <c r="C582" s="268" t="s">
        <v>159</v>
      </c>
      <c r="D582" s="268" t="s">
        <v>103</v>
      </c>
      <c r="E582" s="268" t="s">
        <v>574</v>
      </c>
      <c r="F582" s="268" t="s">
        <v>89</v>
      </c>
      <c r="G582" s="337">
        <f t="shared" si="51"/>
        <v>296.91499999999996</v>
      </c>
      <c r="H582" s="337">
        <f t="shared" si="51"/>
        <v>296.91500000000002</v>
      </c>
      <c r="I582" s="337">
        <f t="shared" si="49"/>
        <v>100.00000000000003</v>
      </c>
    </row>
    <row r="583" spans="1:9" ht="31.5" x14ac:dyDescent="0.25">
      <c r="A583" s="335" t="s">
        <v>90</v>
      </c>
      <c r="B583" s="482">
        <v>903</v>
      </c>
      <c r="C583" s="268" t="s">
        <v>159</v>
      </c>
      <c r="D583" s="268" t="s">
        <v>103</v>
      </c>
      <c r="E583" s="268" t="s">
        <v>574</v>
      </c>
      <c r="F583" s="268" t="s">
        <v>91</v>
      </c>
      <c r="G583" s="337">
        <f>160+14.519+100-3.07069-32.504-2.02931+60</f>
        <v>296.91499999999996</v>
      </c>
      <c r="H583" s="337">
        <v>296.91500000000002</v>
      </c>
      <c r="I583" s="337">
        <f t="shared" si="49"/>
        <v>100.00000000000003</v>
      </c>
    </row>
    <row r="584" spans="1:9" ht="47.25" x14ac:dyDescent="0.25">
      <c r="A584" s="22" t="s">
        <v>894</v>
      </c>
      <c r="B584" s="432">
        <v>903</v>
      </c>
      <c r="C584" s="481" t="s">
        <v>159</v>
      </c>
      <c r="D584" s="481" t="s">
        <v>103</v>
      </c>
      <c r="E584" s="481" t="s">
        <v>162</v>
      </c>
      <c r="F584" s="481"/>
      <c r="G584" s="338">
        <f>G586</f>
        <v>4</v>
      </c>
      <c r="H584" s="338">
        <f>H586</f>
        <v>4</v>
      </c>
      <c r="I584" s="338">
        <f t="shared" si="49"/>
        <v>100</v>
      </c>
    </row>
    <row r="585" spans="1:9" ht="47.25" x14ac:dyDescent="0.25">
      <c r="A585" s="22" t="s">
        <v>452</v>
      </c>
      <c r="B585" s="432">
        <v>903</v>
      </c>
      <c r="C585" s="481" t="s">
        <v>159</v>
      </c>
      <c r="D585" s="481" t="s">
        <v>103</v>
      </c>
      <c r="E585" s="481" t="s">
        <v>372</v>
      </c>
      <c r="F585" s="481"/>
      <c r="G585" s="338">
        <f>G588</f>
        <v>4</v>
      </c>
      <c r="H585" s="338">
        <f>H588</f>
        <v>4</v>
      </c>
      <c r="I585" s="338">
        <f t="shared" si="49"/>
        <v>100</v>
      </c>
    </row>
    <row r="586" spans="1:9" ht="47.25" x14ac:dyDescent="0.25">
      <c r="A586" s="20" t="s">
        <v>493</v>
      </c>
      <c r="B586" s="482">
        <v>903</v>
      </c>
      <c r="C586" s="268" t="s">
        <v>159</v>
      </c>
      <c r="D586" s="268" t="s">
        <v>103</v>
      </c>
      <c r="E586" s="268" t="s">
        <v>453</v>
      </c>
      <c r="F586" s="268"/>
      <c r="G586" s="337">
        <f>G587</f>
        <v>4</v>
      </c>
      <c r="H586" s="337">
        <f>H587</f>
        <v>4</v>
      </c>
      <c r="I586" s="337">
        <f t="shared" si="49"/>
        <v>100</v>
      </c>
    </row>
    <row r="587" spans="1:9" ht="31.5" x14ac:dyDescent="0.25">
      <c r="A587" s="335" t="s">
        <v>88</v>
      </c>
      <c r="B587" s="482">
        <v>903</v>
      </c>
      <c r="C587" s="268" t="s">
        <v>159</v>
      </c>
      <c r="D587" s="268" t="s">
        <v>103</v>
      </c>
      <c r="E587" s="268" t="s">
        <v>453</v>
      </c>
      <c r="F587" s="268" t="s">
        <v>89</v>
      </c>
      <c r="G587" s="337">
        <f>G588</f>
        <v>4</v>
      </c>
      <c r="H587" s="337">
        <f>H588</f>
        <v>4</v>
      </c>
      <c r="I587" s="337">
        <f t="shared" si="49"/>
        <v>100</v>
      </c>
    </row>
    <row r="588" spans="1:9" ht="31.5" x14ac:dyDescent="0.25">
      <c r="A588" s="335" t="s">
        <v>90</v>
      </c>
      <c r="B588" s="482">
        <v>903</v>
      </c>
      <c r="C588" s="268" t="s">
        <v>159</v>
      </c>
      <c r="D588" s="268" t="s">
        <v>103</v>
      </c>
      <c r="E588" s="268" t="s">
        <v>453</v>
      </c>
      <c r="F588" s="268" t="s">
        <v>91</v>
      </c>
      <c r="G588" s="337">
        <v>4</v>
      </c>
      <c r="H588" s="337">
        <v>4</v>
      </c>
      <c r="I588" s="337">
        <f t="shared" ref="I588:I651" si="52">H588/G588*100</f>
        <v>100</v>
      </c>
    </row>
    <row r="589" spans="1:9" ht="15.75" x14ac:dyDescent="0.25">
      <c r="A589" s="116" t="s">
        <v>133</v>
      </c>
      <c r="B589" s="432">
        <v>903</v>
      </c>
      <c r="C589" s="481" t="s">
        <v>134</v>
      </c>
      <c r="D589" s="481"/>
      <c r="E589" s="481"/>
      <c r="F589" s="481"/>
      <c r="G589" s="338">
        <f>G590</f>
        <v>1335.5183099999999</v>
      </c>
      <c r="H589" s="338">
        <f>H590</f>
        <v>1335.51731</v>
      </c>
      <c r="I589" s="338">
        <f t="shared" si="52"/>
        <v>99.999925122703857</v>
      </c>
    </row>
    <row r="590" spans="1:9" ht="15.75" x14ac:dyDescent="0.25">
      <c r="A590" s="116" t="s">
        <v>141</v>
      </c>
      <c r="B590" s="432">
        <v>903</v>
      </c>
      <c r="C590" s="481" t="s">
        <v>134</v>
      </c>
      <c r="D590" s="481" t="s">
        <v>120</v>
      </c>
      <c r="E590" s="481"/>
      <c r="F590" s="481"/>
      <c r="G590" s="338">
        <f>G591</f>
        <v>1335.5183099999999</v>
      </c>
      <c r="H590" s="338">
        <f>H591</f>
        <v>1335.51731</v>
      </c>
      <c r="I590" s="338">
        <f t="shared" si="52"/>
        <v>99.999925122703857</v>
      </c>
    </row>
    <row r="591" spans="1:9" ht="45" customHeight="1" x14ac:dyDescent="0.25">
      <c r="A591" s="116" t="s">
        <v>882</v>
      </c>
      <c r="B591" s="432">
        <v>903</v>
      </c>
      <c r="C591" s="481" t="s">
        <v>134</v>
      </c>
      <c r="D591" s="481" t="s">
        <v>120</v>
      </c>
      <c r="E591" s="481" t="s">
        <v>169</v>
      </c>
      <c r="F591" s="481"/>
      <c r="G591" s="338">
        <f>G592+G597</f>
        <v>1335.5183099999999</v>
      </c>
      <c r="H591" s="338">
        <f>H592+H597</f>
        <v>1335.51731</v>
      </c>
      <c r="I591" s="338">
        <f t="shared" si="52"/>
        <v>99.999925122703857</v>
      </c>
    </row>
    <row r="592" spans="1:9" ht="33.75" customHeight="1" x14ac:dyDescent="0.25">
      <c r="A592" s="116" t="s">
        <v>174</v>
      </c>
      <c r="B592" s="432">
        <v>903</v>
      </c>
      <c r="C592" s="481" t="s">
        <v>134</v>
      </c>
      <c r="D592" s="481" t="s">
        <v>120</v>
      </c>
      <c r="E592" s="481" t="s">
        <v>175</v>
      </c>
      <c r="F592" s="481"/>
      <c r="G592" s="338">
        <f t="shared" ref="G592:H595" si="53">G593</f>
        <v>169.05099999999999</v>
      </c>
      <c r="H592" s="338">
        <f t="shared" si="53"/>
        <v>169.05</v>
      </c>
      <c r="I592" s="338">
        <f t="shared" si="52"/>
        <v>99.999408462534987</v>
      </c>
    </row>
    <row r="593" spans="1:10" ht="33.75" customHeight="1" x14ac:dyDescent="0.25">
      <c r="A593" s="116" t="s">
        <v>353</v>
      </c>
      <c r="B593" s="432">
        <v>903</v>
      </c>
      <c r="C593" s="481" t="s">
        <v>134</v>
      </c>
      <c r="D593" s="481" t="s">
        <v>120</v>
      </c>
      <c r="E593" s="481" t="s">
        <v>352</v>
      </c>
      <c r="F593" s="481"/>
      <c r="G593" s="338">
        <f t="shared" si="53"/>
        <v>169.05099999999999</v>
      </c>
      <c r="H593" s="338">
        <f t="shared" si="53"/>
        <v>169.05</v>
      </c>
      <c r="I593" s="338">
        <f t="shared" si="52"/>
        <v>99.999408462534987</v>
      </c>
    </row>
    <row r="594" spans="1:10" ht="31.5" x14ac:dyDescent="0.25">
      <c r="A594" s="335" t="s">
        <v>297</v>
      </c>
      <c r="B594" s="482">
        <v>903</v>
      </c>
      <c r="C594" s="268" t="s">
        <v>134</v>
      </c>
      <c r="D594" s="268" t="s">
        <v>120</v>
      </c>
      <c r="E594" s="268" t="s">
        <v>354</v>
      </c>
      <c r="F594" s="268"/>
      <c r="G594" s="337">
        <f t="shared" si="53"/>
        <v>169.05099999999999</v>
      </c>
      <c r="H594" s="337">
        <f t="shared" si="53"/>
        <v>169.05</v>
      </c>
      <c r="I594" s="337">
        <f t="shared" si="52"/>
        <v>99.999408462534987</v>
      </c>
    </row>
    <row r="595" spans="1:10" ht="15.75" x14ac:dyDescent="0.25">
      <c r="A595" s="335" t="s">
        <v>137</v>
      </c>
      <c r="B595" s="482">
        <v>903</v>
      </c>
      <c r="C595" s="268" t="s">
        <v>134</v>
      </c>
      <c r="D595" s="268" t="s">
        <v>120</v>
      </c>
      <c r="E595" s="268" t="s">
        <v>354</v>
      </c>
      <c r="F595" s="268" t="s">
        <v>138</v>
      </c>
      <c r="G595" s="337">
        <f t="shared" si="53"/>
        <v>169.05099999999999</v>
      </c>
      <c r="H595" s="337">
        <f t="shared" si="53"/>
        <v>169.05</v>
      </c>
      <c r="I595" s="337">
        <f t="shared" si="52"/>
        <v>99.999408462534987</v>
      </c>
    </row>
    <row r="596" spans="1:10" ht="31.5" x14ac:dyDescent="0.25">
      <c r="A596" s="335" t="s">
        <v>139</v>
      </c>
      <c r="B596" s="482">
        <v>903</v>
      </c>
      <c r="C596" s="268" t="s">
        <v>134</v>
      </c>
      <c r="D596" s="268" t="s">
        <v>120</v>
      </c>
      <c r="E596" s="268" t="s">
        <v>354</v>
      </c>
      <c r="F596" s="268" t="s">
        <v>140</v>
      </c>
      <c r="G596" s="337">
        <f>183.57-14.519</f>
        <v>169.05099999999999</v>
      </c>
      <c r="H596" s="337">
        <v>169.05</v>
      </c>
      <c r="I596" s="337">
        <f t="shared" si="52"/>
        <v>99.999408462534987</v>
      </c>
      <c r="J596" s="341"/>
    </row>
    <row r="597" spans="1:10" ht="31.5" x14ac:dyDescent="0.25">
      <c r="A597" s="116" t="s">
        <v>884</v>
      </c>
      <c r="B597" s="432">
        <v>903</v>
      </c>
      <c r="C597" s="432">
        <v>10</v>
      </c>
      <c r="D597" s="481" t="s">
        <v>120</v>
      </c>
      <c r="E597" s="481" t="s">
        <v>178</v>
      </c>
      <c r="F597" s="481"/>
      <c r="G597" s="338">
        <f>G598+G604+G610</f>
        <v>1166.46731</v>
      </c>
      <c r="H597" s="338">
        <f>H598+H604+H610</f>
        <v>1166.46731</v>
      </c>
      <c r="I597" s="338">
        <f t="shared" si="52"/>
        <v>100</v>
      </c>
    </row>
    <row r="598" spans="1:10" ht="31.5" x14ac:dyDescent="0.25">
      <c r="A598" s="116" t="s">
        <v>463</v>
      </c>
      <c r="B598" s="432">
        <v>903</v>
      </c>
      <c r="C598" s="481" t="s">
        <v>134</v>
      </c>
      <c r="D598" s="481" t="s">
        <v>120</v>
      </c>
      <c r="E598" s="481" t="s">
        <v>361</v>
      </c>
      <c r="F598" s="481"/>
      <c r="G598" s="338">
        <f>G599</f>
        <v>691.46731</v>
      </c>
      <c r="H598" s="338">
        <f>H599</f>
        <v>691.46731</v>
      </c>
      <c r="I598" s="338">
        <f t="shared" si="52"/>
        <v>100</v>
      </c>
    </row>
    <row r="599" spans="1:10" ht="44.25" customHeight="1" x14ac:dyDescent="0.25">
      <c r="A599" s="26" t="s">
        <v>464</v>
      </c>
      <c r="B599" s="482">
        <v>903</v>
      </c>
      <c r="C599" s="268" t="s">
        <v>134</v>
      </c>
      <c r="D599" s="268" t="s">
        <v>120</v>
      </c>
      <c r="E599" s="268" t="s">
        <v>576</v>
      </c>
      <c r="F599" s="268"/>
      <c r="G599" s="337">
        <f>G602+G601</f>
        <v>691.46731</v>
      </c>
      <c r="H599" s="337">
        <f>H602+H601</f>
        <v>691.46731</v>
      </c>
      <c r="I599" s="337">
        <f t="shared" si="52"/>
        <v>100</v>
      </c>
    </row>
    <row r="600" spans="1:10" ht="31.5" x14ac:dyDescent="0.25">
      <c r="A600" s="335" t="s">
        <v>88</v>
      </c>
      <c r="B600" s="482">
        <v>903</v>
      </c>
      <c r="C600" s="268" t="s">
        <v>134</v>
      </c>
      <c r="D600" s="268" t="s">
        <v>120</v>
      </c>
      <c r="E600" s="268" t="s">
        <v>576</v>
      </c>
      <c r="F600" s="268" t="s">
        <v>89</v>
      </c>
      <c r="G600" s="337">
        <f>G601</f>
        <v>134.86731</v>
      </c>
      <c r="H600" s="337">
        <f>H601</f>
        <v>134.86731</v>
      </c>
      <c r="I600" s="337">
        <f t="shared" si="52"/>
        <v>100</v>
      </c>
    </row>
    <row r="601" spans="1:10" ht="35.25" customHeight="1" x14ac:dyDescent="0.25">
      <c r="A601" s="335" t="s">
        <v>90</v>
      </c>
      <c r="B601" s="482">
        <v>903</v>
      </c>
      <c r="C601" s="268" t="s">
        <v>134</v>
      </c>
      <c r="D601" s="268" t="s">
        <v>120</v>
      </c>
      <c r="E601" s="268" t="s">
        <v>576</v>
      </c>
      <c r="F601" s="268" t="s">
        <v>91</v>
      </c>
      <c r="G601" s="337">
        <f>17+50+9.4-19.13+42+25.118+1.05+9.42931</f>
        <v>134.86731</v>
      </c>
      <c r="H601" s="337">
        <v>134.86731</v>
      </c>
      <c r="I601" s="337">
        <f t="shared" si="52"/>
        <v>100</v>
      </c>
    </row>
    <row r="602" spans="1:10" ht="15.75" x14ac:dyDescent="0.25">
      <c r="A602" s="335" t="s">
        <v>137</v>
      </c>
      <c r="B602" s="482">
        <v>903</v>
      </c>
      <c r="C602" s="268" t="s">
        <v>134</v>
      </c>
      <c r="D602" s="268" t="s">
        <v>120</v>
      </c>
      <c r="E602" s="268" t="s">
        <v>576</v>
      </c>
      <c r="F602" s="268" t="s">
        <v>138</v>
      </c>
      <c r="G602" s="337">
        <f>G603</f>
        <v>556.6</v>
      </c>
      <c r="H602" s="337">
        <f>H603</f>
        <v>556.6</v>
      </c>
      <c r="I602" s="337">
        <f t="shared" si="52"/>
        <v>100</v>
      </c>
    </row>
    <row r="603" spans="1:10" ht="27.75" customHeight="1" x14ac:dyDescent="0.25">
      <c r="A603" s="335" t="s">
        <v>172</v>
      </c>
      <c r="B603" s="482">
        <v>903</v>
      </c>
      <c r="C603" s="268" t="s">
        <v>134</v>
      </c>
      <c r="D603" s="268" t="s">
        <v>120</v>
      </c>
      <c r="E603" s="268" t="s">
        <v>576</v>
      </c>
      <c r="F603" s="268" t="s">
        <v>173</v>
      </c>
      <c r="G603" s="337">
        <f>630+25.5-100+1.1</f>
        <v>556.6</v>
      </c>
      <c r="H603" s="337">
        <v>556.6</v>
      </c>
      <c r="I603" s="337">
        <f t="shared" si="52"/>
        <v>100</v>
      </c>
    </row>
    <row r="604" spans="1:10" ht="31.5" x14ac:dyDescent="0.25">
      <c r="A604" s="116" t="s">
        <v>1040</v>
      </c>
      <c r="B604" s="432">
        <v>903</v>
      </c>
      <c r="C604" s="432">
        <v>10</v>
      </c>
      <c r="D604" s="481" t="s">
        <v>120</v>
      </c>
      <c r="E604" s="481" t="s">
        <v>578</v>
      </c>
      <c r="F604" s="481"/>
      <c r="G604" s="338">
        <f>G605</f>
        <v>155</v>
      </c>
      <c r="H604" s="338">
        <f>H605</f>
        <v>155</v>
      </c>
      <c r="I604" s="338">
        <f t="shared" si="52"/>
        <v>100</v>
      </c>
    </row>
    <row r="605" spans="1:10" ht="15.75" x14ac:dyDescent="0.25">
      <c r="A605" s="335" t="s">
        <v>577</v>
      </c>
      <c r="B605" s="482">
        <v>903</v>
      </c>
      <c r="C605" s="268" t="s">
        <v>134</v>
      </c>
      <c r="D605" s="268" t="s">
        <v>120</v>
      </c>
      <c r="E605" s="268" t="s">
        <v>579</v>
      </c>
      <c r="F605" s="268"/>
      <c r="G605" s="337">
        <f>G607+G609</f>
        <v>155</v>
      </c>
      <c r="H605" s="337">
        <f>H607+H609</f>
        <v>155</v>
      </c>
      <c r="I605" s="337">
        <f t="shared" si="52"/>
        <v>100</v>
      </c>
    </row>
    <row r="606" spans="1:10" ht="31.5" hidden="1" x14ac:dyDescent="0.25">
      <c r="A606" s="335" t="s">
        <v>88</v>
      </c>
      <c r="B606" s="482">
        <v>903</v>
      </c>
      <c r="C606" s="268" t="s">
        <v>134</v>
      </c>
      <c r="D606" s="268" t="s">
        <v>120</v>
      </c>
      <c r="E606" s="268" t="s">
        <v>579</v>
      </c>
      <c r="F606" s="268" t="s">
        <v>89</v>
      </c>
      <c r="G606" s="337">
        <f>G607</f>
        <v>0</v>
      </c>
      <c r="H606" s="337">
        <f>H607</f>
        <v>0</v>
      </c>
      <c r="I606" s="337" t="e">
        <f t="shared" si="52"/>
        <v>#DIV/0!</v>
      </c>
    </row>
    <row r="607" spans="1:10" ht="31.5" hidden="1" x14ac:dyDescent="0.25">
      <c r="A607" s="335" t="s">
        <v>90</v>
      </c>
      <c r="B607" s="482">
        <v>903</v>
      </c>
      <c r="C607" s="268" t="s">
        <v>134</v>
      </c>
      <c r="D607" s="268" t="s">
        <v>120</v>
      </c>
      <c r="E607" s="268" t="s">
        <v>579</v>
      </c>
      <c r="F607" s="268" t="s">
        <v>91</v>
      </c>
      <c r="G607" s="337">
        <v>0</v>
      </c>
      <c r="H607" s="337">
        <v>0</v>
      </c>
      <c r="I607" s="337" t="e">
        <f t="shared" si="52"/>
        <v>#DIV/0!</v>
      </c>
    </row>
    <row r="608" spans="1:10" ht="15.75" x14ac:dyDescent="0.25">
      <c r="A608" s="335" t="s">
        <v>137</v>
      </c>
      <c r="B608" s="482">
        <v>903</v>
      </c>
      <c r="C608" s="268" t="s">
        <v>134</v>
      </c>
      <c r="D608" s="268" t="s">
        <v>120</v>
      </c>
      <c r="E608" s="268" t="s">
        <v>579</v>
      </c>
      <c r="F608" s="268" t="s">
        <v>138</v>
      </c>
      <c r="G608" s="337">
        <f>G609</f>
        <v>155</v>
      </c>
      <c r="H608" s="337">
        <f>H609</f>
        <v>155</v>
      </c>
      <c r="I608" s="337">
        <f t="shared" si="52"/>
        <v>100</v>
      </c>
    </row>
    <row r="609" spans="1:10" ht="26.25" customHeight="1" x14ac:dyDescent="0.25">
      <c r="A609" s="335" t="s">
        <v>172</v>
      </c>
      <c r="B609" s="482">
        <v>903</v>
      </c>
      <c r="C609" s="268" t="s">
        <v>134</v>
      </c>
      <c r="D609" s="268" t="s">
        <v>120</v>
      </c>
      <c r="E609" s="268" t="s">
        <v>579</v>
      </c>
      <c r="F609" s="268" t="s">
        <v>173</v>
      </c>
      <c r="G609" s="337">
        <f>157-100+100-25.118-1.05-9.2+13.368+20</f>
        <v>155</v>
      </c>
      <c r="H609" s="337">
        <v>155</v>
      </c>
      <c r="I609" s="337">
        <f t="shared" si="52"/>
        <v>100</v>
      </c>
      <c r="J609" s="341"/>
    </row>
    <row r="610" spans="1:10" ht="31.5" x14ac:dyDescent="0.25">
      <c r="A610" s="116" t="s">
        <v>426</v>
      </c>
      <c r="B610" s="432">
        <v>903</v>
      </c>
      <c r="C610" s="432">
        <v>10</v>
      </c>
      <c r="D610" s="481" t="s">
        <v>120</v>
      </c>
      <c r="E610" s="481" t="s">
        <v>573</v>
      </c>
      <c r="F610" s="481"/>
      <c r="G610" s="338">
        <f t="shared" ref="G610:H612" si="54">G611</f>
        <v>320</v>
      </c>
      <c r="H610" s="338">
        <f t="shared" si="54"/>
        <v>320</v>
      </c>
      <c r="I610" s="338">
        <f t="shared" si="52"/>
        <v>100</v>
      </c>
    </row>
    <row r="611" spans="1:10" ht="15.75" x14ac:dyDescent="0.25">
      <c r="A611" s="335" t="s">
        <v>461</v>
      </c>
      <c r="B611" s="482">
        <v>903</v>
      </c>
      <c r="C611" s="268" t="s">
        <v>134</v>
      </c>
      <c r="D611" s="268" t="s">
        <v>120</v>
      </c>
      <c r="E611" s="268" t="s">
        <v>575</v>
      </c>
      <c r="F611" s="268"/>
      <c r="G611" s="337">
        <f t="shared" si="54"/>
        <v>320</v>
      </c>
      <c r="H611" s="337">
        <f t="shared" si="54"/>
        <v>320</v>
      </c>
      <c r="I611" s="337">
        <f t="shared" si="52"/>
        <v>100</v>
      </c>
    </row>
    <row r="612" spans="1:10" ht="15.75" x14ac:dyDescent="0.25">
      <c r="A612" s="335" t="s">
        <v>137</v>
      </c>
      <c r="B612" s="482">
        <v>903</v>
      </c>
      <c r="C612" s="268" t="s">
        <v>134</v>
      </c>
      <c r="D612" s="268" t="s">
        <v>120</v>
      </c>
      <c r="E612" s="268" t="s">
        <v>575</v>
      </c>
      <c r="F612" s="268" t="s">
        <v>138</v>
      </c>
      <c r="G612" s="337">
        <f t="shared" si="54"/>
        <v>320</v>
      </c>
      <c r="H612" s="337">
        <f t="shared" si="54"/>
        <v>320</v>
      </c>
      <c r="I612" s="337">
        <f t="shared" si="52"/>
        <v>100</v>
      </c>
    </row>
    <row r="613" spans="1:10" ht="15.75" x14ac:dyDescent="0.25">
      <c r="A613" s="335" t="s">
        <v>172</v>
      </c>
      <c r="B613" s="482">
        <v>903</v>
      </c>
      <c r="C613" s="268" t="s">
        <v>134</v>
      </c>
      <c r="D613" s="268" t="s">
        <v>120</v>
      </c>
      <c r="E613" s="268" t="s">
        <v>575</v>
      </c>
      <c r="F613" s="268" t="s">
        <v>173</v>
      </c>
      <c r="G613" s="337">
        <f>220+140-20-20</f>
        <v>320</v>
      </c>
      <c r="H613" s="337">
        <v>320</v>
      </c>
      <c r="I613" s="337">
        <f t="shared" si="52"/>
        <v>100</v>
      </c>
    </row>
    <row r="614" spans="1:10" ht="15.75" x14ac:dyDescent="0.25">
      <c r="A614" s="116" t="s">
        <v>230</v>
      </c>
      <c r="B614" s="432">
        <v>903</v>
      </c>
      <c r="C614" s="481" t="s">
        <v>132</v>
      </c>
      <c r="D614" s="268"/>
      <c r="E614" s="268"/>
      <c r="F614" s="268"/>
      <c r="G614" s="338">
        <f>G615</f>
        <v>6528.3590699999995</v>
      </c>
      <c r="H614" s="338">
        <f>H615</f>
        <v>6528.3590700000004</v>
      </c>
      <c r="I614" s="338">
        <f t="shared" si="52"/>
        <v>100.00000000000003</v>
      </c>
    </row>
    <row r="615" spans="1:10" ht="15.75" x14ac:dyDescent="0.25">
      <c r="A615" s="116" t="s">
        <v>231</v>
      </c>
      <c r="B615" s="432">
        <v>903</v>
      </c>
      <c r="C615" s="481" t="s">
        <v>132</v>
      </c>
      <c r="D615" s="481" t="s">
        <v>119</v>
      </c>
      <c r="E615" s="481"/>
      <c r="F615" s="481"/>
      <c r="G615" s="338">
        <f>G616+G632</f>
        <v>6528.3590699999995</v>
      </c>
      <c r="H615" s="338">
        <f>H616+H632</f>
        <v>6528.3590700000004</v>
      </c>
      <c r="I615" s="338">
        <f t="shared" si="52"/>
        <v>100.00000000000003</v>
      </c>
    </row>
    <row r="616" spans="1:10" ht="31.5" x14ac:dyDescent="0.25">
      <c r="A616" s="116" t="s">
        <v>641</v>
      </c>
      <c r="B616" s="432">
        <v>903</v>
      </c>
      <c r="C616" s="481" t="s">
        <v>132</v>
      </c>
      <c r="D616" s="481" t="s">
        <v>119</v>
      </c>
      <c r="E616" s="481" t="s">
        <v>147</v>
      </c>
      <c r="F616" s="481"/>
      <c r="G616" s="338">
        <f>G617+G628</f>
        <v>6450.3590699999995</v>
      </c>
      <c r="H616" s="338">
        <f>H617+H628</f>
        <v>6450.3590700000004</v>
      </c>
      <c r="I616" s="338">
        <f t="shared" si="52"/>
        <v>100.00000000000003</v>
      </c>
    </row>
    <row r="617" spans="1:10" ht="31.5" x14ac:dyDescent="0.25">
      <c r="A617" s="116" t="s">
        <v>622</v>
      </c>
      <c r="B617" s="432">
        <v>903</v>
      </c>
      <c r="C617" s="481" t="s">
        <v>132</v>
      </c>
      <c r="D617" s="481" t="s">
        <v>119</v>
      </c>
      <c r="E617" s="481" t="s">
        <v>560</v>
      </c>
      <c r="F617" s="481"/>
      <c r="G617" s="338">
        <f>G618+G625</f>
        <v>6075.3240699999997</v>
      </c>
      <c r="H617" s="338">
        <f>H618+H625</f>
        <v>6075.3240700000006</v>
      </c>
      <c r="I617" s="338">
        <f t="shared" si="52"/>
        <v>100.00000000000003</v>
      </c>
    </row>
    <row r="618" spans="1:10" ht="15.75" x14ac:dyDescent="0.25">
      <c r="A618" s="335" t="s">
        <v>283</v>
      </c>
      <c r="B618" s="482">
        <v>903</v>
      </c>
      <c r="C618" s="268" t="s">
        <v>132</v>
      </c>
      <c r="D618" s="268" t="s">
        <v>119</v>
      </c>
      <c r="E618" s="268" t="s">
        <v>561</v>
      </c>
      <c r="F618" s="268"/>
      <c r="G618" s="337">
        <f>G619+G621+G623</f>
        <v>5993.21407</v>
      </c>
      <c r="H618" s="337">
        <f>H619+H621+H623</f>
        <v>5993.2140700000009</v>
      </c>
      <c r="I618" s="337">
        <f t="shared" si="52"/>
        <v>100.00000000000003</v>
      </c>
    </row>
    <row r="619" spans="1:10" ht="78.75" x14ac:dyDescent="0.25">
      <c r="A619" s="335" t="s">
        <v>84</v>
      </c>
      <c r="B619" s="482">
        <v>903</v>
      </c>
      <c r="C619" s="268" t="s">
        <v>132</v>
      </c>
      <c r="D619" s="268" t="s">
        <v>119</v>
      </c>
      <c r="E619" s="268" t="s">
        <v>561</v>
      </c>
      <c r="F619" s="268" t="s">
        <v>85</v>
      </c>
      <c r="G619" s="337">
        <f>G620</f>
        <v>4991.2472599999992</v>
      </c>
      <c r="H619" s="337">
        <f>H620</f>
        <v>4991.2472600000001</v>
      </c>
      <c r="I619" s="337">
        <f t="shared" si="52"/>
        <v>100.00000000000003</v>
      </c>
    </row>
    <row r="620" spans="1:10" ht="24" customHeight="1" x14ac:dyDescent="0.25">
      <c r="A620" s="335" t="s">
        <v>116</v>
      </c>
      <c r="B620" s="482">
        <v>903</v>
      </c>
      <c r="C620" s="268" t="s">
        <v>132</v>
      </c>
      <c r="D620" s="268" t="s">
        <v>119</v>
      </c>
      <c r="E620" s="268" t="s">
        <v>561</v>
      </c>
      <c r="F620" s="268" t="s">
        <v>117</v>
      </c>
      <c r="G620" s="271">
        <f>4677.94+24-20.5+17.3-6.8+274.9+120.3-3.16278+22.02952-32.64947-0.00001-63.06-19.05</f>
        <v>4991.2472599999992</v>
      </c>
      <c r="H620" s="271">
        <v>4991.2472600000001</v>
      </c>
      <c r="I620" s="337">
        <f t="shared" si="52"/>
        <v>100.00000000000003</v>
      </c>
      <c r="J620" s="341"/>
    </row>
    <row r="621" spans="1:10" ht="31.5" x14ac:dyDescent="0.25">
      <c r="A621" s="335" t="s">
        <v>88</v>
      </c>
      <c r="B621" s="482">
        <v>903</v>
      </c>
      <c r="C621" s="268" t="s">
        <v>132</v>
      </c>
      <c r="D621" s="268" t="s">
        <v>119</v>
      </c>
      <c r="E621" s="268" t="s">
        <v>561</v>
      </c>
      <c r="F621" s="268" t="s">
        <v>89</v>
      </c>
      <c r="G621" s="337">
        <f>G622</f>
        <v>977.81281000000013</v>
      </c>
      <c r="H621" s="337">
        <f>H622</f>
        <v>977.81281000000001</v>
      </c>
      <c r="I621" s="337">
        <f t="shared" si="52"/>
        <v>99.999999999999986</v>
      </c>
    </row>
    <row r="622" spans="1:10" ht="31.5" x14ac:dyDescent="0.25">
      <c r="A622" s="335" t="s">
        <v>90</v>
      </c>
      <c r="B622" s="482">
        <v>903</v>
      </c>
      <c r="C622" s="268" t="s">
        <v>132</v>
      </c>
      <c r="D622" s="268" t="s">
        <v>119</v>
      </c>
      <c r="E622" s="268" t="s">
        <v>561</v>
      </c>
      <c r="F622" s="268" t="s">
        <v>91</v>
      </c>
      <c r="G622" s="271">
        <f>941.5-24+21.648+10-4+36.414+2.41643+21.91-7.02392+7.7+1.72-0.30539-0.00024-30.16607</f>
        <v>977.81281000000013</v>
      </c>
      <c r="H622" s="271">
        <v>977.81281000000001</v>
      </c>
      <c r="I622" s="337">
        <f t="shared" si="52"/>
        <v>99.999999999999986</v>
      </c>
      <c r="J622" s="341"/>
    </row>
    <row r="623" spans="1:10" ht="15.75" x14ac:dyDescent="0.25">
      <c r="A623" s="335" t="s">
        <v>92</v>
      </c>
      <c r="B623" s="482">
        <v>903</v>
      </c>
      <c r="C623" s="268" t="s">
        <v>132</v>
      </c>
      <c r="D623" s="268" t="s">
        <v>119</v>
      </c>
      <c r="E623" s="268" t="s">
        <v>561</v>
      </c>
      <c r="F623" s="268" t="s">
        <v>98</v>
      </c>
      <c r="G623" s="337">
        <f>G624</f>
        <v>24.154</v>
      </c>
      <c r="H623" s="337">
        <f>H624</f>
        <v>24.154</v>
      </c>
      <c r="I623" s="337">
        <f t="shared" si="52"/>
        <v>100</v>
      </c>
    </row>
    <row r="624" spans="1:10" ht="30" customHeight="1" x14ac:dyDescent="0.25">
      <c r="A624" s="335" t="s">
        <v>223</v>
      </c>
      <c r="B624" s="482">
        <v>903</v>
      </c>
      <c r="C624" s="268" t="s">
        <v>132</v>
      </c>
      <c r="D624" s="268" t="s">
        <v>119</v>
      </c>
      <c r="E624" s="268" t="s">
        <v>561</v>
      </c>
      <c r="F624" s="268" t="s">
        <v>94</v>
      </c>
      <c r="G624" s="337">
        <f>17.5+20.5-13.846</f>
        <v>24.154</v>
      </c>
      <c r="H624" s="337">
        <v>24.154</v>
      </c>
      <c r="I624" s="337">
        <f t="shared" si="52"/>
        <v>100</v>
      </c>
      <c r="J624" s="341"/>
    </row>
    <row r="625" spans="1:10" ht="31.5" x14ac:dyDescent="0.25">
      <c r="A625" s="335" t="s">
        <v>1118</v>
      </c>
      <c r="B625" s="482">
        <v>903</v>
      </c>
      <c r="C625" s="268" t="s">
        <v>132</v>
      </c>
      <c r="D625" s="268" t="s">
        <v>119</v>
      </c>
      <c r="E625" s="268" t="s">
        <v>1120</v>
      </c>
      <c r="F625" s="268"/>
      <c r="G625" s="337">
        <f>G626</f>
        <v>82.11</v>
      </c>
      <c r="H625" s="337">
        <f>H626</f>
        <v>82.11</v>
      </c>
      <c r="I625" s="337">
        <f t="shared" si="52"/>
        <v>100</v>
      </c>
      <c r="J625" s="341"/>
    </row>
    <row r="626" spans="1:10" ht="78.75" x14ac:dyDescent="0.25">
      <c r="A626" s="335" t="s">
        <v>84</v>
      </c>
      <c r="B626" s="482">
        <v>903</v>
      </c>
      <c r="C626" s="268" t="s">
        <v>132</v>
      </c>
      <c r="D626" s="268" t="s">
        <v>119</v>
      </c>
      <c r="E626" s="268" t="s">
        <v>1120</v>
      </c>
      <c r="F626" s="268" t="s">
        <v>85</v>
      </c>
      <c r="G626" s="337">
        <f>G627</f>
        <v>82.11</v>
      </c>
      <c r="H626" s="337">
        <f>H627</f>
        <v>82.11</v>
      </c>
      <c r="I626" s="337">
        <f t="shared" si="52"/>
        <v>100</v>
      </c>
      <c r="J626" s="341"/>
    </row>
    <row r="627" spans="1:10" ht="15.75" x14ac:dyDescent="0.25">
      <c r="A627" s="335" t="s">
        <v>116</v>
      </c>
      <c r="B627" s="482">
        <v>903</v>
      </c>
      <c r="C627" s="268" t="s">
        <v>132</v>
      </c>
      <c r="D627" s="268" t="s">
        <v>119</v>
      </c>
      <c r="E627" s="268" t="s">
        <v>1120</v>
      </c>
      <c r="F627" s="268" t="s">
        <v>117</v>
      </c>
      <c r="G627" s="337">
        <f>63.06+19.05</f>
        <v>82.11</v>
      </c>
      <c r="H627" s="337">
        <v>82.11</v>
      </c>
      <c r="I627" s="337">
        <f t="shared" si="52"/>
        <v>100</v>
      </c>
    </row>
    <row r="628" spans="1:10" ht="31.5" x14ac:dyDescent="0.25">
      <c r="A628" s="116" t="s">
        <v>380</v>
      </c>
      <c r="B628" s="432">
        <v>903</v>
      </c>
      <c r="C628" s="481" t="s">
        <v>132</v>
      </c>
      <c r="D628" s="481" t="s">
        <v>119</v>
      </c>
      <c r="E628" s="481" t="s">
        <v>565</v>
      </c>
      <c r="F628" s="481"/>
      <c r="G628" s="338">
        <f t="shared" ref="G628:H630" si="55">G629</f>
        <v>375.03499999999997</v>
      </c>
      <c r="H628" s="338">
        <f t="shared" si="55"/>
        <v>375.03500000000003</v>
      </c>
      <c r="I628" s="338">
        <f t="shared" si="52"/>
        <v>100.00000000000003</v>
      </c>
    </row>
    <row r="629" spans="1:10" ht="31.5" x14ac:dyDescent="0.25">
      <c r="A629" s="335" t="s">
        <v>304</v>
      </c>
      <c r="B629" s="482">
        <v>903</v>
      </c>
      <c r="C629" s="268" t="s">
        <v>132</v>
      </c>
      <c r="D629" s="268" t="s">
        <v>119</v>
      </c>
      <c r="E629" s="268" t="s">
        <v>566</v>
      </c>
      <c r="F629" s="268"/>
      <c r="G629" s="337">
        <f t="shared" si="55"/>
        <v>375.03499999999997</v>
      </c>
      <c r="H629" s="337">
        <f t="shared" si="55"/>
        <v>375.03500000000003</v>
      </c>
      <c r="I629" s="337">
        <f t="shared" si="52"/>
        <v>100.00000000000003</v>
      </c>
    </row>
    <row r="630" spans="1:10" ht="78.75" x14ac:dyDescent="0.25">
      <c r="A630" s="335" t="s">
        <v>84</v>
      </c>
      <c r="B630" s="482">
        <v>903</v>
      </c>
      <c r="C630" s="268" t="s">
        <v>132</v>
      </c>
      <c r="D630" s="268" t="s">
        <v>119</v>
      </c>
      <c r="E630" s="268" t="s">
        <v>566</v>
      </c>
      <c r="F630" s="268" t="s">
        <v>85</v>
      </c>
      <c r="G630" s="337">
        <f t="shared" si="55"/>
        <v>375.03499999999997</v>
      </c>
      <c r="H630" s="337">
        <f t="shared" si="55"/>
        <v>375.03500000000003</v>
      </c>
      <c r="I630" s="337">
        <f t="shared" si="52"/>
        <v>100.00000000000003</v>
      </c>
    </row>
    <row r="631" spans="1:10" ht="27.75" customHeight="1" x14ac:dyDescent="0.25">
      <c r="A631" s="335" t="s">
        <v>116</v>
      </c>
      <c r="B631" s="482">
        <v>903</v>
      </c>
      <c r="C631" s="268" t="s">
        <v>132</v>
      </c>
      <c r="D631" s="268" t="s">
        <v>119</v>
      </c>
      <c r="E631" s="268" t="s">
        <v>566</v>
      </c>
      <c r="F631" s="268" t="s">
        <v>117</v>
      </c>
      <c r="G631" s="337">
        <f>258+43+47+0.8+22.537+3.698</f>
        <v>375.03499999999997</v>
      </c>
      <c r="H631" s="337">
        <v>375.03500000000003</v>
      </c>
      <c r="I631" s="337">
        <f t="shared" si="52"/>
        <v>100.00000000000003</v>
      </c>
      <c r="J631" s="341"/>
    </row>
    <row r="632" spans="1:10" ht="47.25" x14ac:dyDescent="0.25">
      <c r="A632" s="130" t="s">
        <v>853</v>
      </c>
      <c r="B632" s="432">
        <v>903</v>
      </c>
      <c r="C632" s="481" t="s">
        <v>132</v>
      </c>
      <c r="D632" s="481" t="s">
        <v>119</v>
      </c>
      <c r="E632" s="481" t="s">
        <v>259</v>
      </c>
      <c r="F632" s="486"/>
      <c r="G632" s="338">
        <f>G634</f>
        <v>78</v>
      </c>
      <c r="H632" s="338">
        <f>H634</f>
        <v>78</v>
      </c>
      <c r="I632" s="338">
        <f t="shared" si="52"/>
        <v>100</v>
      </c>
    </row>
    <row r="633" spans="1:10" ht="47.25" x14ac:dyDescent="0.25">
      <c r="A633" s="130" t="s">
        <v>341</v>
      </c>
      <c r="B633" s="432">
        <v>903</v>
      </c>
      <c r="C633" s="481" t="s">
        <v>132</v>
      </c>
      <c r="D633" s="481" t="s">
        <v>119</v>
      </c>
      <c r="E633" s="481" t="s">
        <v>339</v>
      </c>
      <c r="F633" s="486"/>
      <c r="G633" s="338">
        <f t="shared" ref="G633:H635" si="56">G634</f>
        <v>78</v>
      </c>
      <c r="H633" s="338">
        <f t="shared" si="56"/>
        <v>78</v>
      </c>
      <c r="I633" s="338">
        <f t="shared" si="52"/>
        <v>100</v>
      </c>
    </row>
    <row r="634" spans="1:10" ht="31.5" x14ac:dyDescent="0.25">
      <c r="A634" s="26" t="s">
        <v>433</v>
      </c>
      <c r="B634" s="482">
        <v>903</v>
      </c>
      <c r="C634" s="268" t="s">
        <v>132</v>
      </c>
      <c r="D634" s="268" t="s">
        <v>119</v>
      </c>
      <c r="E634" s="268" t="s">
        <v>340</v>
      </c>
      <c r="F634" s="487"/>
      <c r="G634" s="337">
        <f t="shared" si="56"/>
        <v>78</v>
      </c>
      <c r="H634" s="337">
        <f t="shared" si="56"/>
        <v>78</v>
      </c>
      <c r="I634" s="337">
        <f t="shared" si="52"/>
        <v>100</v>
      </c>
    </row>
    <row r="635" spans="1:10" ht="31.5" x14ac:dyDescent="0.25">
      <c r="A635" s="335" t="s">
        <v>88</v>
      </c>
      <c r="B635" s="482">
        <v>903</v>
      </c>
      <c r="C635" s="268" t="s">
        <v>132</v>
      </c>
      <c r="D635" s="268" t="s">
        <v>119</v>
      </c>
      <c r="E635" s="268" t="s">
        <v>340</v>
      </c>
      <c r="F635" s="487" t="s">
        <v>89</v>
      </c>
      <c r="G635" s="337">
        <f t="shared" si="56"/>
        <v>78</v>
      </c>
      <c r="H635" s="337">
        <f t="shared" si="56"/>
        <v>78</v>
      </c>
      <c r="I635" s="337">
        <f t="shared" si="52"/>
        <v>100</v>
      </c>
    </row>
    <row r="636" spans="1:10" ht="31.5" x14ac:dyDescent="0.25">
      <c r="A636" s="335" t="s">
        <v>90</v>
      </c>
      <c r="B636" s="482">
        <v>903</v>
      </c>
      <c r="C636" s="268" t="s">
        <v>132</v>
      </c>
      <c r="D636" s="268" t="s">
        <v>119</v>
      </c>
      <c r="E636" s="268" t="s">
        <v>340</v>
      </c>
      <c r="F636" s="487" t="s">
        <v>91</v>
      </c>
      <c r="G636" s="337">
        <v>78</v>
      </c>
      <c r="H636" s="337">
        <v>78</v>
      </c>
      <c r="I636" s="337">
        <f t="shared" si="52"/>
        <v>100</v>
      </c>
    </row>
    <row r="637" spans="1:10" ht="31.5" x14ac:dyDescent="0.25">
      <c r="A637" s="115" t="s">
        <v>1000</v>
      </c>
      <c r="B637" s="432">
        <v>904</v>
      </c>
      <c r="C637" s="481"/>
      <c r="D637" s="481"/>
      <c r="E637" s="481"/>
      <c r="F637" s="486"/>
      <c r="G637" s="338">
        <f>G638</f>
        <v>3700.7317599999997</v>
      </c>
      <c r="H637" s="338">
        <f>H638</f>
        <v>3697.1634199999999</v>
      </c>
      <c r="I637" s="338">
        <f t="shared" si="52"/>
        <v>99.903577448153129</v>
      </c>
    </row>
    <row r="638" spans="1:10" ht="15.75" x14ac:dyDescent="0.25">
      <c r="A638" s="116" t="s">
        <v>80</v>
      </c>
      <c r="B638" s="432">
        <v>904</v>
      </c>
      <c r="C638" s="481" t="s">
        <v>81</v>
      </c>
      <c r="D638" s="481"/>
      <c r="E638" s="481"/>
      <c r="F638" s="486"/>
      <c r="G638" s="338">
        <f>G639</f>
        <v>3700.7317599999997</v>
      </c>
      <c r="H638" s="338">
        <f>H639</f>
        <v>3697.1634199999999</v>
      </c>
      <c r="I638" s="338">
        <f t="shared" si="52"/>
        <v>99.903577448153129</v>
      </c>
    </row>
    <row r="639" spans="1:10" ht="47.25" x14ac:dyDescent="0.25">
      <c r="A639" s="116" t="s">
        <v>82</v>
      </c>
      <c r="B639" s="432">
        <v>904</v>
      </c>
      <c r="C639" s="481" t="s">
        <v>81</v>
      </c>
      <c r="D639" s="481" t="s">
        <v>83</v>
      </c>
      <c r="E639" s="481"/>
      <c r="F639" s="481"/>
      <c r="G639" s="338">
        <f t="shared" ref="G639:H640" si="57">G640</f>
        <v>3700.7317599999997</v>
      </c>
      <c r="H639" s="338">
        <f t="shared" si="57"/>
        <v>3697.1634199999999</v>
      </c>
      <c r="I639" s="338">
        <f t="shared" si="52"/>
        <v>99.903577448153129</v>
      </c>
    </row>
    <row r="640" spans="1:10" ht="31.5" x14ac:dyDescent="0.25">
      <c r="A640" s="116" t="s">
        <v>362</v>
      </c>
      <c r="B640" s="432">
        <v>904</v>
      </c>
      <c r="C640" s="481" t="s">
        <v>81</v>
      </c>
      <c r="D640" s="481" t="s">
        <v>83</v>
      </c>
      <c r="E640" s="481" t="s">
        <v>321</v>
      </c>
      <c r="F640" s="481"/>
      <c r="G640" s="338">
        <f t="shared" si="57"/>
        <v>3700.7317599999997</v>
      </c>
      <c r="H640" s="338">
        <f t="shared" si="57"/>
        <v>3697.1634199999999</v>
      </c>
      <c r="I640" s="338">
        <f t="shared" si="52"/>
        <v>99.903577448153129</v>
      </c>
    </row>
    <row r="641" spans="1:10" ht="31.5" x14ac:dyDescent="0.25">
      <c r="A641" s="116" t="s">
        <v>731</v>
      </c>
      <c r="B641" s="432">
        <v>904</v>
      </c>
      <c r="C641" s="481" t="s">
        <v>81</v>
      </c>
      <c r="D641" s="481" t="s">
        <v>83</v>
      </c>
      <c r="E641" s="481" t="s">
        <v>732</v>
      </c>
      <c r="F641" s="481"/>
      <c r="G641" s="338">
        <f>G642+G649+G655</f>
        <v>3700.7317599999997</v>
      </c>
      <c r="H641" s="338">
        <f>H642+H649+H655</f>
        <v>3697.1634199999999</v>
      </c>
      <c r="I641" s="338">
        <f t="shared" si="52"/>
        <v>99.903577448153129</v>
      </c>
    </row>
    <row r="642" spans="1:10" ht="31.5" x14ac:dyDescent="0.25">
      <c r="A642" s="335" t="s">
        <v>346</v>
      </c>
      <c r="B642" s="482">
        <v>904</v>
      </c>
      <c r="C642" s="268" t="s">
        <v>81</v>
      </c>
      <c r="D642" s="268" t="s">
        <v>83</v>
      </c>
      <c r="E642" s="268" t="s">
        <v>735</v>
      </c>
      <c r="F642" s="268"/>
      <c r="G642" s="337">
        <f>G643+G645+G647</f>
        <v>842.11</v>
      </c>
      <c r="H642" s="337">
        <f>H643+H645+H647</f>
        <v>839.03146000000004</v>
      </c>
      <c r="I642" s="337">
        <f t="shared" si="52"/>
        <v>99.634425431356959</v>
      </c>
      <c r="J642" s="281"/>
    </row>
    <row r="643" spans="1:10" ht="78.75" x14ac:dyDescent="0.25">
      <c r="A643" s="335" t="s">
        <v>84</v>
      </c>
      <c r="B643" s="482">
        <v>904</v>
      </c>
      <c r="C643" s="268" t="s">
        <v>81</v>
      </c>
      <c r="D643" s="268" t="s">
        <v>83</v>
      </c>
      <c r="E643" s="268" t="s">
        <v>735</v>
      </c>
      <c r="F643" s="268" t="s">
        <v>85</v>
      </c>
      <c r="G643" s="337">
        <f>G644</f>
        <v>800.93000000000006</v>
      </c>
      <c r="H643" s="337">
        <f>H644</f>
        <v>800.79046000000005</v>
      </c>
      <c r="I643" s="337">
        <f t="shared" si="52"/>
        <v>99.98257775336171</v>
      </c>
      <c r="J643" s="281"/>
    </row>
    <row r="644" spans="1:10" ht="31.5" x14ac:dyDescent="0.25">
      <c r="A644" s="335" t="s">
        <v>86</v>
      </c>
      <c r="B644" s="482">
        <v>904</v>
      </c>
      <c r="C644" s="268" t="s">
        <v>81</v>
      </c>
      <c r="D644" s="268" t="s">
        <v>83</v>
      </c>
      <c r="E644" s="268" t="s">
        <v>735</v>
      </c>
      <c r="F644" s="268" t="s">
        <v>87</v>
      </c>
      <c r="G644" s="337">
        <f>818.42+10.99+3.32-23.5-8.3</f>
        <v>800.93000000000006</v>
      </c>
      <c r="H644" s="337">
        <v>800.79046000000005</v>
      </c>
      <c r="I644" s="337">
        <f t="shared" si="52"/>
        <v>99.98257775336171</v>
      </c>
    </row>
    <row r="645" spans="1:10" ht="31.5" x14ac:dyDescent="0.25">
      <c r="A645" s="335" t="s">
        <v>114</v>
      </c>
      <c r="B645" s="482">
        <v>904</v>
      </c>
      <c r="C645" s="268" t="s">
        <v>81</v>
      </c>
      <c r="D645" s="268" t="s">
        <v>83</v>
      </c>
      <c r="E645" s="268" t="s">
        <v>735</v>
      </c>
      <c r="F645" s="268" t="s">
        <v>89</v>
      </c>
      <c r="G645" s="337">
        <f>G646</f>
        <v>41.18</v>
      </c>
      <c r="H645" s="337">
        <f>H646</f>
        <v>38.241</v>
      </c>
      <c r="I645" s="337">
        <f t="shared" si="52"/>
        <v>92.863040310830499</v>
      </c>
    </row>
    <row r="646" spans="1:10" ht="31.5" x14ac:dyDescent="0.25">
      <c r="A646" s="335" t="s">
        <v>90</v>
      </c>
      <c r="B646" s="482">
        <v>904</v>
      </c>
      <c r="C646" s="268" t="s">
        <v>81</v>
      </c>
      <c r="D646" s="268" t="s">
        <v>83</v>
      </c>
      <c r="E646" s="268" t="s">
        <v>735</v>
      </c>
      <c r="F646" s="268" t="s">
        <v>91</v>
      </c>
      <c r="G646" s="337">
        <f>93-7.7-44.12</f>
        <v>41.18</v>
      </c>
      <c r="H646" s="337">
        <v>38.241</v>
      </c>
      <c r="I646" s="337">
        <f t="shared" si="52"/>
        <v>92.863040310830499</v>
      </c>
    </row>
    <row r="647" spans="1:10" ht="15.75" hidden="1" x14ac:dyDescent="0.25">
      <c r="A647" s="335" t="s">
        <v>92</v>
      </c>
      <c r="B647" s="482">
        <v>904</v>
      </c>
      <c r="C647" s="268" t="s">
        <v>81</v>
      </c>
      <c r="D647" s="268" t="s">
        <v>83</v>
      </c>
      <c r="E647" s="268" t="s">
        <v>735</v>
      </c>
      <c r="F647" s="268" t="s">
        <v>98</v>
      </c>
      <c r="G647" s="337">
        <f>G648</f>
        <v>0</v>
      </c>
      <c r="H647" s="337">
        <f>H648</f>
        <v>0</v>
      </c>
      <c r="I647" s="337" t="e">
        <f t="shared" si="52"/>
        <v>#DIV/0!</v>
      </c>
    </row>
    <row r="648" spans="1:10" ht="15.75" hidden="1" x14ac:dyDescent="0.25">
      <c r="A648" s="335" t="s">
        <v>223</v>
      </c>
      <c r="B648" s="482">
        <v>904</v>
      </c>
      <c r="C648" s="268" t="s">
        <v>81</v>
      </c>
      <c r="D648" s="268" t="s">
        <v>83</v>
      </c>
      <c r="E648" s="268" t="s">
        <v>735</v>
      </c>
      <c r="F648" s="268" t="s">
        <v>94</v>
      </c>
      <c r="G648" s="337"/>
      <c r="H648" s="337"/>
      <c r="I648" s="337" t="e">
        <f t="shared" si="52"/>
        <v>#DIV/0!</v>
      </c>
    </row>
    <row r="649" spans="1:10" ht="47.25" x14ac:dyDescent="0.25">
      <c r="A649" s="335" t="s">
        <v>733</v>
      </c>
      <c r="B649" s="482">
        <v>904</v>
      </c>
      <c r="C649" s="268" t="s">
        <v>81</v>
      </c>
      <c r="D649" s="268" t="s">
        <v>83</v>
      </c>
      <c r="E649" s="268" t="s">
        <v>734</v>
      </c>
      <c r="F649" s="268"/>
      <c r="G649" s="337">
        <f>G650+G652</f>
        <v>2822.4999999999995</v>
      </c>
      <c r="H649" s="337">
        <f>H650+H652</f>
        <v>2822.0101999999997</v>
      </c>
      <c r="I649" s="337">
        <f t="shared" si="52"/>
        <v>99.982646589902586</v>
      </c>
    </row>
    <row r="650" spans="1:10" ht="78.75" x14ac:dyDescent="0.25">
      <c r="A650" s="335" t="s">
        <v>84</v>
      </c>
      <c r="B650" s="482">
        <v>904</v>
      </c>
      <c r="C650" s="268" t="s">
        <v>81</v>
      </c>
      <c r="D650" s="268" t="s">
        <v>83</v>
      </c>
      <c r="E650" s="268" t="s">
        <v>734</v>
      </c>
      <c r="F650" s="268" t="s">
        <v>85</v>
      </c>
      <c r="G650" s="337">
        <f>G651</f>
        <v>2735.3799999999997</v>
      </c>
      <c r="H650" s="337">
        <f>H651</f>
        <v>2734.8901999999998</v>
      </c>
      <c r="I650" s="337">
        <f t="shared" si="52"/>
        <v>99.982093895546512</v>
      </c>
    </row>
    <row r="651" spans="1:10" ht="34.5" customHeight="1" x14ac:dyDescent="0.25">
      <c r="A651" s="335" t="s">
        <v>86</v>
      </c>
      <c r="B651" s="482">
        <v>904</v>
      </c>
      <c r="C651" s="268" t="s">
        <v>81</v>
      </c>
      <c r="D651" s="268" t="s">
        <v>83</v>
      </c>
      <c r="E651" s="268" t="s">
        <v>734</v>
      </c>
      <c r="F651" s="268" t="s">
        <v>87</v>
      </c>
      <c r="G651" s="337">
        <f>2701.12+7.7+36.68+11.08-28+6.8</f>
        <v>2735.3799999999997</v>
      </c>
      <c r="H651" s="337">
        <v>2734.8901999999998</v>
      </c>
      <c r="I651" s="337">
        <f t="shared" si="52"/>
        <v>99.982093895546512</v>
      </c>
      <c r="J651" s="341"/>
    </row>
    <row r="652" spans="1:10" ht="31.5" x14ac:dyDescent="0.25">
      <c r="A652" s="335" t="s">
        <v>304</v>
      </c>
      <c r="B652" s="482">
        <v>904</v>
      </c>
      <c r="C652" s="268" t="s">
        <v>81</v>
      </c>
      <c r="D652" s="268" t="s">
        <v>83</v>
      </c>
      <c r="E652" s="268" t="s">
        <v>768</v>
      </c>
      <c r="F652" s="268"/>
      <c r="G652" s="337">
        <f>G653</f>
        <v>87.12</v>
      </c>
      <c r="H652" s="337">
        <f>H653</f>
        <v>87.12</v>
      </c>
      <c r="I652" s="337">
        <f t="shared" ref="I652:I715" si="58">H652/G652*100</f>
        <v>100</v>
      </c>
    </row>
    <row r="653" spans="1:10" ht="78.75" x14ac:dyDescent="0.25">
      <c r="A653" s="335" t="s">
        <v>84</v>
      </c>
      <c r="B653" s="482">
        <v>904</v>
      </c>
      <c r="C653" s="268" t="s">
        <v>81</v>
      </c>
      <c r="D653" s="268" t="s">
        <v>83</v>
      </c>
      <c r="E653" s="268" t="s">
        <v>768</v>
      </c>
      <c r="F653" s="268" t="s">
        <v>85</v>
      </c>
      <c r="G653" s="337">
        <f>G654</f>
        <v>87.12</v>
      </c>
      <c r="H653" s="337">
        <f>H654</f>
        <v>87.12</v>
      </c>
      <c r="I653" s="337">
        <f t="shared" si="58"/>
        <v>100</v>
      </c>
    </row>
    <row r="654" spans="1:10" ht="31.5" x14ac:dyDescent="0.25">
      <c r="A654" s="335" t="s">
        <v>86</v>
      </c>
      <c r="B654" s="482">
        <v>904</v>
      </c>
      <c r="C654" s="268" t="s">
        <v>81</v>
      </c>
      <c r="D654" s="268" t="s">
        <v>83</v>
      </c>
      <c r="E654" s="268" t="s">
        <v>768</v>
      </c>
      <c r="F654" s="268" t="s">
        <v>87</v>
      </c>
      <c r="G654" s="337">
        <f>43+44.12</f>
        <v>87.12</v>
      </c>
      <c r="H654" s="337">
        <v>87.12</v>
      </c>
      <c r="I654" s="337">
        <f t="shared" si="58"/>
        <v>100</v>
      </c>
    </row>
    <row r="655" spans="1:10" ht="47.25" x14ac:dyDescent="0.25">
      <c r="A655" s="335" t="s">
        <v>1107</v>
      </c>
      <c r="B655" s="482">
        <v>904</v>
      </c>
      <c r="C655" s="268" t="s">
        <v>81</v>
      </c>
      <c r="D655" s="268" t="s">
        <v>83</v>
      </c>
      <c r="E655" s="268" t="s">
        <v>1112</v>
      </c>
      <c r="F655" s="268"/>
      <c r="G655" s="337">
        <f>G656</f>
        <v>36.121760000000002</v>
      </c>
      <c r="H655" s="337">
        <f>H656</f>
        <v>36.121760000000002</v>
      </c>
      <c r="I655" s="337">
        <f t="shared" si="58"/>
        <v>100</v>
      </c>
      <c r="J655" s="333"/>
    </row>
    <row r="656" spans="1:10" ht="63.75" customHeight="1" x14ac:dyDescent="0.25">
      <c r="A656" s="335" t="s">
        <v>84</v>
      </c>
      <c r="B656" s="482">
        <v>904</v>
      </c>
      <c r="C656" s="268" t="s">
        <v>81</v>
      </c>
      <c r="D656" s="268" t="s">
        <v>83</v>
      </c>
      <c r="E656" s="268" t="s">
        <v>1112</v>
      </c>
      <c r="F656" s="268" t="s">
        <v>85</v>
      </c>
      <c r="G656" s="337">
        <f>G657</f>
        <v>36.121760000000002</v>
      </c>
      <c r="H656" s="337">
        <f>H657</f>
        <v>36.121760000000002</v>
      </c>
      <c r="I656" s="337">
        <f t="shared" si="58"/>
        <v>100</v>
      </c>
      <c r="J656" s="333"/>
    </row>
    <row r="657" spans="1:10" ht="31.5" x14ac:dyDescent="0.25">
      <c r="A657" s="335" t="s">
        <v>86</v>
      </c>
      <c r="B657" s="482">
        <v>904</v>
      </c>
      <c r="C657" s="268" t="s">
        <v>81</v>
      </c>
      <c r="D657" s="268" t="s">
        <v>83</v>
      </c>
      <c r="E657" s="268" t="s">
        <v>1112</v>
      </c>
      <c r="F657" s="268" t="s">
        <v>87</v>
      </c>
      <c r="G657" s="337">
        <f>29.608+6.51376</f>
        <v>36.121760000000002</v>
      </c>
      <c r="H657" s="337">
        <v>36.121760000000002</v>
      </c>
      <c r="I657" s="337">
        <f t="shared" si="58"/>
        <v>100</v>
      </c>
    </row>
    <row r="658" spans="1:10" ht="31.5" x14ac:dyDescent="0.25">
      <c r="A658" s="432" t="s">
        <v>995</v>
      </c>
      <c r="B658" s="432">
        <v>905</v>
      </c>
      <c r="C658" s="268"/>
      <c r="D658" s="268"/>
      <c r="E658" s="268"/>
      <c r="F658" s="268"/>
      <c r="G658" s="338">
        <f>G659+G691+G701</f>
        <v>42839.908060000002</v>
      </c>
      <c r="H658" s="338">
        <f>H659+H691+H701</f>
        <v>42834.789630000007</v>
      </c>
      <c r="I658" s="338">
        <f t="shared" si="58"/>
        <v>99.988052191912217</v>
      </c>
      <c r="J658" s="281"/>
    </row>
    <row r="659" spans="1:10" ht="15.75" x14ac:dyDescent="0.25">
      <c r="A659" s="116" t="s">
        <v>80</v>
      </c>
      <c r="B659" s="432">
        <v>905</v>
      </c>
      <c r="C659" s="481" t="s">
        <v>81</v>
      </c>
      <c r="D659" s="268"/>
      <c r="E659" s="268"/>
      <c r="F659" s="268"/>
      <c r="G659" s="338">
        <f>G660+G679</f>
        <v>41232.407500000001</v>
      </c>
      <c r="H659" s="338">
        <f>H660+H679</f>
        <v>41232.407500000001</v>
      </c>
      <c r="I659" s="338">
        <f t="shared" si="58"/>
        <v>100</v>
      </c>
    </row>
    <row r="660" spans="1:10" ht="65.25" customHeight="1" x14ac:dyDescent="0.25">
      <c r="A660" s="116" t="s">
        <v>102</v>
      </c>
      <c r="B660" s="432">
        <v>905</v>
      </c>
      <c r="C660" s="481" t="s">
        <v>81</v>
      </c>
      <c r="D660" s="481" t="s">
        <v>103</v>
      </c>
      <c r="E660" s="481"/>
      <c r="F660" s="481"/>
      <c r="G660" s="338">
        <f>G661</f>
        <v>16217.69447</v>
      </c>
      <c r="H660" s="338">
        <f>H661</f>
        <v>16217.69447</v>
      </c>
      <c r="I660" s="338">
        <f t="shared" si="58"/>
        <v>100</v>
      </c>
    </row>
    <row r="661" spans="1:10" ht="31.5" x14ac:dyDescent="0.25">
      <c r="A661" s="116" t="s">
        <v>362</v>
      </c>
      <c r="B661" s="432">
        <v>905</v>
      </c>
      <c r="C661" s="481" t="s">
        <v>81</v>
      </c>
      <c r="D661" s="481" t="s">
        <v>103</v>
      </c>
      <c r="E661" s="481" t="s">
        <v>321</v>
      </c>
      <c r="F661" s="481"/>
      <c r="G661" s="338">
        <f>G662</f>
        <v>16217.69447</v>
      </c>
      <c r="H661" s="338">
        <f>H662</f>
        <v>16217.69447</v>
      </c>
      <c r="I661" s="338">
        <f t="shared" si="58"/>
        <v>100</v>
      </c>
    </row>
    <row r="662" spans="1:10" ht="15.75" x14ac:dyDescent="0.25">
      <c r="A662" s="116" t="s">
        <v>363</v>
      </c>
      <c r="B662" s="432">
        <v>905</v>
      </c>
      <c r="C662" s="481" t="s">
        <v>81</v>
      </c>
      <c r="D662" s="481" t="s">
        <v>103</v>
      </c>
      <c r="E662" s="481" t="s">
        <v>322</v>
      </c>
      <c r="F662" s="481"/>
      <c r="G662" s="338">
        <f>G663+G670+G673+G676</f>
        <v>16217.69447</v>
      </c>
      <c r="H662" s="338">
        <f>H663+H670+H673+H676</f>
        <v>16217.69447</v>
      </c>
      <c r="I662" s="338">
        <f t="shared" si="58"/>
        <v>100</v>
      </c>
    </row>
    <row r="663" spans="1:10" ht="28.5" customHeight="1" x14ac:dyDescent="0.25">
      <c r="A663" s="335" t="s">
        <v>346</v>
      </c>
      <c r="B663" s="482">
        <v>905</v>
      </c>
      <c r="C663" s="268" t="s">
        <v>81</v>
      </c>
      <c r="D663" s="268" t="s">
        <v>103</v>
      </c>
      <c r="E663" s="268" t="s">
        <v>323</v>
      </c>
      <c r="F663" s="268"/>
      <c r="G663" s="337">
        <f>G664+G666+G668</f>
        <v>15938.00339</v>
      </c>
      <c r="H663" s="337">
        <f>H664+H666+H668</f>
        <v>15938.00339</v>
      </c>
      <c r="I663" s="337">
        <f t="shared" si="58"/>
        <v>100</v>
      </c>
      <c r="J663" s="281"/>
    </row>
    <row r="664" spans="1:10" ht="78.75" x14ac:dyDescent="0.25">
      <c r="A664" s="335" t="s">
        <v>84</v>
      </c>
      <c r="B664" s="482">
        <v>905</v>
      </c>
      <c r="C664" s="268" t="s">
        <v>81</v>
      </c>
      <c r="D664" s="268" t="s">
        <v>103</v>
      </c>
      <c r="E664" s="268" t="s">
        <v>323</v>
      </c>
      <c r="F664" s="268" t="s">
        <v>85</v>
      </c>
      <c r="G664" s="337">
        <f>G665</f>
        <v>15151.01122</v>
      </c>
      <c r="H664" s="337">
        <f>H665</f>
        <v>15151.01122</v>
      </c>
      <c r="I664" s="337">
        <f t="shared" si="58"/>
        <v>100</v>
      </c>
    </row>
    <row r="665" spans="1:10" ht="31.5" x14ac:dyDescent="0.25">
      <c r="A665" s="335" t="s">
        <v>86</v>
      </c>
      <c r="B665" s="482">
        <v>905</v>
      </c>
      <c r="C665" s="268" t="s">
        <v>81</v>
      </c>
      <c r="D665" s="268" t="s">
        <v>103</v>
      </c>
      <c r="E665" s="268" t="s">
        <v>323</v>
      </c>
      <c r="F665" s="268" t="s">
        <v>87</v>
      </c>
      <c r="G665" s="271">
        <f>14864.24+10+15.766+202.87+61.27-110.66295+107.52817</f>
        <v>15151.01122</v>
      </c>
      <c r="H665" s="271">
        <v>15151.01122</v>
      </c>
      <c r="I665" s="337">
        <f t="shared" si="58"/>
        <v>100</v>
      </c>
      <c r="J665" s="341"/>
    </row>
    <row r="666" spans="1:10" ht="31.5" x14ac:dyDescent="0.25">
      <c r="A666" s="335" t="s">
        <v>88</v>
      </c>
      <c r="B666" s="482">
        <v>905</v>
      </c>
      <c r="C666" s="268" t="s">
        <v>81</v>
      </c>
      <c r="D666" s="268" t="s">
        <v>103</v>
      </c>
      <c r="E666" s="268" t="s">
        <v>323</v>
      </c>
      <c r="F666" s="268" t="s">
        <v>89</v>
      </c>
      <c r="G666" s="337">
        <f>G667</f>
        <v>627.29917000000023</v>
      </c>
      <c r="H666" s="337">
        <f>H667</f>
        <v>627.29917</v>
      </c>
      <c r="I666" s="337">
        <f t="shared" si="58"/>
        <v>99.999999999999972</v>
      </c>
    </row>
    <row r="667" spans="1:10" ht="31.5" x14ac:dyDescent="0.25">
      <c r="A667" s="335" t="s">
        <v>90</v>
      </c>
      <c r="B667" s="482">
        <v>905</v>
      </c>
      <c r="C667" s="268" t="s">
        <v>81</v>
      </c>
      <c r="D667" s="268" t="s">
        <v>103</v>
      </c>
      <c r="E667" s="268" t="s">
        <v>323</v>
      </c>
      <c r="F667" s="268" t="s">
        <v>91</v>
      </c>
      <c r="G667" s="271">
        <f>718.6+300-21.904-32-30-185.178-67.174-39.62811-1.00343-2.395+2.267-2.26789-12.0174</f>
        <v>627.29917000000023</v>
      </c>
      <c r="H667" s="271">
        <v>627.29917</v>
      </c>
      <c r="I667" s="337">
        <f t="shared" si="58"/>
        <v>99.999999999999972</v>
      </c>
      <c r="J667" s="341"/>
    </row>
    <row r="668" spans="1:10" ht="15.75" x14ac:dyDescent="0.25">
      <c r="A668" s="335" t="s">
        <v>92</v>
      </c>
      <c r="B668" s="482">
        <v>905</v>
      </c>
      <c r="C668" s="268" t="s">
        <v>81</v>
      </c>
      <c r="D668" s="268" t="s">
        <v>103</v>
      </c>
      <c r="E668" s="268" t="s">
        <v>323</v>
      </c>
      <c r="F668" s="268" t="s">
        <v>98</v>
      </c>
      <c r="G668" s="337">
        <f>G669</f>
        <v>159.69299999999998</v>
      </c>
      <c r="H668" s="337">
        <f>H669</f>
        <v>159.69300000000001</v>
      </c>
      <c r="I668" s="337">
        <f t="shared" si="58"/>
        <v>100.00000000000003</v>
      </c>
    </row>
    <row r="669" spans="1:10" ht="26.25" customHeight="1" x14ac:dyDescent="0.25">
      <c r="A669" s="335" t="s">
        <v>223</v>
      </c>
      <c r="B669" s="482">
        <v>905</v>
      </c>
      <c r="C669" s="268" t="s">
        <v>81</v>
      </c>
      <c r="D669" s="268" t="s">
        <v>103</v>
      </c>
      <c r="E669" s="268" t="s">
        <v>323</v>
      </c>
      <c r="F669" s="268" t="s">
        <v>94</v>
      </c>
      <c r="G669" s="337">
        <f>151.67+10+3.65525-1.977-3.65525</f>
        <v>159.69299999999998</v>
      </c>
      <c r="H669" s="337">
        <v>159.69300000000001</v>
      </c>
      <c r="I669" s="337">
        <f t="shared" si="58"/>
        <v>100.00000000000003</v>
      </c>
    </row>
    <row r="670" spans="1:10" ht="31.5" x14ac:dyDescent="0.25">
      <c r="A670" s="335" t="s">
        <v>304</v>
      </c>
      <c r="B670" s="482">
        <v>905</v>
      </c>
      <c r="C670" s="268" t="s">
        <v>81</v>
      </c>
      <c r="D670" s="268" t="s">
        <v>103</v>
      </c>
      <c r="E670" s="268" t="s">
        <v>325</v>
      </c>
      <c r="F670" s="268"/>
      <c r="G670" s="337">
        <f>G671</f>
        <v>134.31</v>
      </c>
      <c r="H670" s="337">
        <f>H671</f>
        <v>134.31</v>
      </c>
      <c r="I670" s="337">
        <f t="shared" si="58"/>
        <v>100</v>
      </c>
    </row>
    <row r="671" spans="1:10" ht="78.75" x14ac:dyDescent="0.25">
      <c r="A671" s="335" t="s">
        <v>84</v>
      </c>
      <c r="B671" s="482">
        <v>905</v>
      </c>
      <c r="C671" s="268" t="s">
        <v>81</v>
      </c>
      <c r="D671" s="268" t="s">
        <v>103</v>
      </c>
      <c r="E671" s="268" t="s">
        <v>325</v>
      </c>
      <c r="F671" s="268" t="s">
        <v>85</v>
      </c>
      <c r="G671" s="337">
        <f>G672</f>
        <v>134.31</v>
      </c>
      <c r="H671" s="337">
        <f>H672</f>
        <v>134.31</v>
      </c>
      <c r="I671" s="337">
        <f t="shared" si="58"/>
        <v>100</v>
      </c>
    </row>
    <row r="672" spans="1:10" ht="31.5" x14ac:dyDescent="0.25">
      <c r="A672" s="335" t="s">
        <v>86</v>
      </c>
      <c r="B672" s="482">
        <v>905</v>
      </c>
      <c r="C672" s="268" t="s">
        <v>81</v>
      </c>
      <c r="D672" s="268" t="s">
        <v>103</v>
      </c>
      <c r="E672" s="268" t="s">
        <v>325</v>
      </c>
      <c r="F672" s="268" t="s">
        <v>87</v>
      </c>
      <c r="G672" s="337">
        <f>473-20-120-198-0.69</f>
        <v>134.31</v>
      </c>
      <c r="H672" s="337">
        <v>134.31</v>
      </c>
      <c r="I672" s="337">
        <f t="shared" si="58"/>
        <v>100</v>
      </c>
      <c r="J672" s="341"/>
    </row>
    <row r="673" spans="1:10" ht="31.5" x14ac:dyDescent="0.25">
      <c r="A673" s="335" t="s">
        <v>1085</v>
      </c>
      <c r="B673" s="482">
        <v>905</v>
      </c>
      <c r="C673" s="268" t="s">
        <v>81</v>
      </c>
      <c r="D673" s="268" t="s">
        <v>103</v>
      </c>
      <c r="E673" s="268" t="s">
        <v>1081</v>
      </c>
      <c r="F673" s="268"/>
      <c r="G673" s="337">
        <f>G674</f>
        <v>78.12</v>
      </c>
      <c r="H673" s="337">
        <f>H674</f>
        <v>78.12</v>
      </c>
      <c r="I673" s="337">
        <f t="shared" si="58"/>
        <v>100</v>
      </c>
      <c r="J673" s="341"/>
    </row>
    <row r="674" spans="1:10" ht="78.75" x14ac:dyDescent="0.25">
      <c r="A674" s="335" t="s">
        <v>84</v>
      </c>
      <c r="B674" s="482">
        <v>905</v>
      </c>
      <c r="C674" s="268" t="s">
        <v>81</v>
      </c>
      <c r="D674" s="268" t="s">
        <v>103</v>
      </c>
      <c r="E674" s="268" t="s">
        <v>1081</v>
      </c>
      <c r="F674" s="268" t="s">
        <v>85</v>
      </c>
      <c r="G674" s="337">
        <f>G675</f>
        <v>78.12</v>
      </c>
      <c r="H674" s="337">
        <f>H675</f>
        <v>78.12</v>
      </c>
      <c r="I674" s="337">
        <f t="shared" si="58"/>
        <v>100</v>
      </c>
      <c r="J674" s="341"/>
    </row>
    <row r="675" spans="1:10" ht="31.5" x14ac:dyDescent="0.25">
      <c r="A675" s="335" t="s">
        <v>86</v>
      </c>
      <c r="B675" s="482">
        <v>905</v>
      </c>
      <c r="C675" s="268" t="s">
        <v>81</v>
      </c>
      <c r="D675" s="268" t="s">
        <v>103</v>
      </c>
      <c r="E675" s="268" t="s">
        <v>1081</v>
      </c>
      <c r="F675" s="268" t="s">
        <v>87</v>
      </c>
      <c r="G675" s="337">
        <v>78.12</v>
      </c>
      <c r="H675" s="337">
        <v>78.12</v>
      </c>
      <c r="I675" s="337">
        <f t="shared" si="58"/>
        <v>100</v>
      </c>
      <c r="J675" s="341"/>
    </row>
    <row r="676" spans="1:10" ht="47.25" x14ac:dyDescent="0.25">
      <c r="A676" s="335" t="s">
        <v>1107</v>
      </c>
      <c r="B676" s="482">
        <v>905</v>
      </c>
      <c r="C676" s="268" t="s">
        <v>81</v>
      </c>
      <c r="D676" s="268" t="s">
        <v>103</v>
      </c>
      <c r="E676" s="268" t="s">
        <v>1106</v>
      </c>
      <c r="F676" s="268"/>
      <c r="G676" s="337">
        <f>G677</f>
        <v>67.261079999999993</v>
      </c>
      <c r="H676" s="337">
        <f>H677</f>
        <v>67.261080000000007</v>
      </c>
      <c r="I676" s="337">
        <f t="shared" si="58"/>
        <v>100.00000000000003</v>
      </c>
      <c r="J676" s="341"/>
    </row>
    <row r="677" spans="1:10" ht="78.75" x14ac:dyDescent="0.25">
      <c r="A677" s="335" t="s">
        <v>84</v>
      </c>
      <c r="B677" s="482">
        <v>905</v>
      </c>
      <c r="C677" s="268" t="s">
        <v>81</v>
      </c>
      <c r="D677" s="268" t="s">
        <v>103</v>
      </c>
      <c r="E677" s="268" t="s">
        <v>1106</v>
      </c>
      <c r="F677" s="268" t="s">
        <v>85</v>
      </c>
      <c r="G677" s="337">
        <f>G678</f>
        <v>67.261079999999993</v>
      </c>
      <c r="H677" s="337">
        <f>H678</f>
        <v>67.261080000000007</v>
      </c>
      <c r="I677" s="337">
        <f t="shared" si="58"/>
        <v>100.00000000000003</v>
      </c>
      <c r="J677" s="341"/>
    </row>
    <row r="678" spans="1:10" ht="39" customHeight="1" x14ac:dyDescent="0.25">
      <c r="A678" s="335" t="s">
        <v>86</v>
      </c>
      <c r="B678" s="482">
        <v>905</v>
      </c>
      <c r="C678" s="268" t="s">
        <v>81</v>
      </c>
      <c r="D678" s="268" t="s">
        <v>103</v>
      </c>
      <c r="E678" s="268" t="s">
        <v>1106</v>
      </c>
      <c r="F678" s="268" t="s">
        <v>87</v>
      </c>
      <c r="G678" s="337">
        <f>52.14038+15.1207</f>
        <v>67.261079999999993</v>
      </c>
      <c r="H678" s="337">
        <v>67.261080000000007</v>
      </c>
      <c r="I678" s="337">
        <f t="shared" si="58"/>
        <v>100.00000000000003</v>
      </c>
    </row>
    <row r="679" spans="1:10" ht="15.75" x14ac:dyDescent="0.25">
      <c r="A679" s="116" t="s">
        <v>95</v>
      </c>
      <c r="B679" s="432">
        <v>905</v>
      </c>
      <c r="C679" s="481" t="s">
        <v>81</v>
      </c>
      <c r="D679" s="481" t="s">
        <v>96</v>
      </c>
      <c r="E679" s="481"/>
      <c r="F679" s="481"/>
      <c r="G679" s="338">
        <f>G680</f>
        <v>25014.713030000003</v>
      </c>
      <c r="H679" s="338">
        <f>H680</f>
        <v>25014.713029999999</v>
      </c>
      <c r="I679" s="338">
        <f t="shared" si="58"/>
        <v>99.999999999999986</v>
      </c>
    </row>
    <row r="680" spans="1:10" ht="15.75" x14ac:dyDescent="0.25">
      <c r="A680" s="116" t="s">
        <v>97</v>
      </c>
      <c r="B680" s="432">
        <v>905</v>
      </c>
      <c r="C680" s="481" t="s">
        <v>81</v>
      </c>
      <c r="D680" s="481" t="s">
        <v>96</v>
      </c>
      <c r="E680" s="481" t="s">
        <v>329</v>
      </c>
      <c r="F680" s="481"/>
      <c r="G680" s="338">
        <f>G681</f>
        <v>25014.713030000003</v>
      </c>
      <c r="H680" s="338">
        <f>H681</f>
        <v>25014.713029999999</v>
      </c>
      <c r="I680" s="338">
        <f t="shared" si="58"/>
        <v>99.999999999999986</v>
      </c>
    </row>
    <row r="681" spans="1:10" ht="31.5" x14ac:dyDescent="0.25">
      <c r="A681" s="116" t="s">
        <v>330</v>
      </c>
      <c r="B681" s="432">
        <v>905</v>
      </c>
      <c r="C681" s="481" t="s">
        <v>81</v>
      </c>
      <c r="D681" s="481" t="s">
        <v>96</v>
      </c>
      <c r="E681" s="481" t="s">
        <v>328</v>
      </c>
      <c r="F681" s="481"/>
      <c r="G681" s="338">
        <f>G682+G688</f>
        <v>25014.713030000003</v>
      </c>
      <c r="H681" s="338">
        <f>H682+H688</f>
        <v>25014.713029999999</v>
      </c>
      <c r="I681" s="338">
        <f t="shared" si="58"/>
        <v>99.999999999999986</v>
      </c>
    </row>
    <row r="682" spans="1:10" ht="47.25" x14ac:dyDescent="0.25">
      <c r="A682" s="335" t="s">
        <v>183</v>
      </c>
      <c r="B682" s="482">
        <v>905</v>
      </c>
      <c r="C682" s="268" t="s">
        <v>81</v>
      </c>
      <c r="D682" s="268" t="s">
        <v>96</v>
      </c>
      <c r="E682" s="268" t="s">
        <v>439</v>
      </c>
      <c r="F682" s="268"/>
      <c r="G682" s="337">
        <f>G683+G685</f>
        <v>25014.713030000003</v>
      </c>
      <c r="H682" s="337">
        <f>H683+H685</f>
        <v>25014.713029999999</v>
      </c>
      <c r="I682" s="337">
        <f t="shared" si="58"/>
        <v>99.999999999999986</v>
      </c>
    </row>
    <row r="683" spans="1:10" ht="31.5" x14ac:dyDescent="0.25">
      <c r="A683" s="335" t="s">
        <v>88</v>
      </c>
      <c r="B683" s="482">
        <v>905</v>
      </c>
      <c r="C683" s="268" t="s">
        <v>81</v>
      </c>
      <c r="D683" s="268" t="s">
        <v>96</v>
      </c>
      <c r="E683" s="268" t="s">
        <v>439</v>
      </c>
      <c r="F683" s="268" t="s">
        <v>89</v>
      </c>
      <c r="G683" s="337">
        <f>G684</f>
        <v>6996.723750000001</v>
      </c>
      <c r="H683" s="337">
        <f>H684</f>
        <v>6996.7237500000001</v>
      </c>
      <c r="I683" s="337">
        <f t="shared" si="58"/>
        <v>99.999999999999986</v>
      </c>
    </row>
    <row r="684" spans="1:10" ht="31.5" x14ac:dyDescent="0.25">
      <c r="A684" s="335" t="s">
        <v>90</v>
      </c>
      <c r="B684" s="482">
        <v>905</v>
      </c>
      <c r="C684" s="268" t="s">
        <v>81</v>
      </c>
      <c r="D684" s="268" t="s">
        <v>96</v>
      </c>
      <c r="E684" s="268" t="s">
        <v>439</v>
      </c>
      <c r="F684" s="268" t="s">
        <v>91</v>
      </c>
      <c r="G684" s="337">
        <f>6376.14-10+331.98011+316.59886+42+1.13143-61.12665</f>
        <v>6996.723750000001</v>
      </c>
      <c r="H684" s="337">
        <v>6996.7237500000001</v>
      </c>
      <c r="I684" s="337">
        <f t="shared" si="58"/>
        <v>99.999999999999986</v>
      </c>
      <c r="J684" s="341"/>
    </row>
    <row r="685" spans="1:10" ht="15.75" x14ac:dyDescent="0.25">
      <c r="A685" s="335" t="s">
        <v>92</v>
      </c>
      <c r="B685" s="482">
        <v>905</v>
      </c>
      <c r="C685" s="268" t="s">
        <v>81</v>
      </c>
      <c r="D685" s="268" t="s">
        <v>96</v>
      </c>
      <c r="E685" s="268" t="s">
        <v>439</v>
      </c>
      <c r="F685" s="268" t="s">
        <v>98</v>
      </c>
      <c r="G685" s="337">
        <f>G686+G687</f>
        <v>18017.989280000002</v>
      </c>
      <c r="H685" s="337">
        <f>H686+H687</f>
        <v>18017.989279999998</v>
      </c>
      <c r="I685" s="337">
        <f t="shared" si="58"/>
        <v>99.999999999999972</v>
      </c>
    </row>
    <row r="686" spans="1:10" ht="31.5" x14ac:dyDescent="0.25">
      <c r="A686" s="335" t="s">
        <v>301</v>
      </c>
      <c r="B686" s="482">
        <v>905</v>
      </c>
      <c r="C686" s="268" t="s">
        <v>81</v>
      </c>
      <c r="D686" s="268" t="s">
        <v>96</v>
      </c>
      <c r="E686" s="268" t="s">
        <v>439</v>
      </c>
      <c r="F686" s="268" t="s">
        <v>100</v>
      </c>
      <c r="G686" s="337">
        <f>8519.07+3000+1000+1701.79+120+833.70259+2298.20128+120-3.65525-57.17586+61.02738</f>
        <v>17592.960140000003</v>
      </c>
      <c r="H686" s="337">
        <v>17592.960139999999</v>
      </c>
      <c r="I686" s="337">
        <f t="shared" si="58"/>
        <v>99.999999999999972</v>
      </c>
      <c r="J686" s="341"/>
    </row>
    <row r="687" spans="1:10" ht="29.25" customHeight="1" x14ac:dyDescent="0.25">
      <c r="A687" s="335" t="s">
        <v>223</v>
      </c>
      <c r="B687" s="482">
        <v>905</v>
      </c>
      <c r="C687" s="268" t="s">
        <v>81</v>
      </c>
      <c r="D687" s="268" t="s">
        <v>96</v>
      </c>
      <c r="E687" s="268" t="s">
        <v>439</v>
      </c>
      <c r="F687" s="268" t="s">
        <v>94</v>
      </c>
      <c r="G687" s="337">
        <f>135.02914+240+50</f>
        <v>425.02913999999998</v>
      </c>
      <c r="H687" s="337">
        <v>425.02913999999998</v>
      </c>
      <c r="I687" s="337">
        <f t="shared" si="58"/>
        <v>100</v>
      </c>
      <c r="J687" s="330"/>
    </row>
    <row r="688" spans="1:10" ht="31.5" hidden="1" x14ac:dyDescent="0.25">
      <c r="A688" s="335" t="s">
        <v>370</v>
      </c>
      <c r="B688" s="482">
        <v>905</v>
      </c>
      <c r="C688" s="268" t="s">
        <v>81</v>
      </c>
      <c r="D688" s="268" t="s">
        <v>96</v>
      </c>
      <c r="E688" s="268" t="s">
        <v>440</v>
      </c>
      <c r="F688" s="268"/>
      <c r="G688" s="337">
        <f>G689</f>
        <v>0</v>
      </c>
      <c r="H688" s="337">
        <f>H689</f>
        <v>0</v>
      </c>
      <c r="I688" s="337" t="e">
        <f t="shared" si="58"/>
        <v>#DIV/0!</v>
      </c>
    </row>
    <row r="689" spans="1:10" ht="31.5" hidden="1" x14ac:dyDescent="0.25">
      <c r="A689" s="335" t="s">
        <v>88</v>
      </c>
      <c r="B689" s="482">
        <v>905</v>
      </c>
      <c r="C689" s="268" t="s">
        <v>81</v>
      </c>
      <c r="D689" s="268" t="s">
        <v>96</v>
      </c>
      <c r="E689" s="268" t="s">
        <v>440</v>
      </c>
      <c r="F689" s="268" t="s">
        <v>89</v>
      </c>
      <c r="G689" s="337">
        <f>G690</f>
        <v>0</v>
      </c>
      <c r="H689" s="337">
        <f>H690</f>
        <v>0</v>
      </c>
      <c r="I689" s="337" t="e">
        <f t="shared" si="58"/>
        <v>#DIV/0!</v>
      </c>
    </row>
    <row r="690" spans="1:10" ht="31.5" hidden="1" x14ac:dyDescent="0.25">
      <c r="A690" s="335" t="s">
        <v>90</v>
      </c>
      <c r="B690" s="482">
        <v>905</v>
      </c>
      <c r="C690" s="268" t="s">
        <v>81</v>
      </c>
      <c r="D690" s="268" t="s">
        <v>96</v>
      </c>
      <c r="E690" s="268" t="s">
        <v>440</v>
      </c>
      <c r="F690" s="268" t="s">
        <v>91</v>
      </c>
      <c r="G690" s="337">
        <f>100-100</f>
        <v>0</v>
      </c>
      <c r="H690" s="337">
        <f>100-100</f>
        <v>0</v>
      </c>
      <c r="I690" s="337" t="e">
        <f t="shared" si="58"/>
        <v>#DIV/0!</v>
      </c>
    </row>
    <row r="691" spans="1:10" ht="15.75" x14ac:dyDescent="0.25">
      <c r="A691" s="130" t="s">
        <v>184</v>
      </c>
      <c r="B691" s="432">
        <v>905</v>
      </c>
      <c r="C691" s="481" t="s">
        <v>129</v>
      </c>
      <c r="D691" s="481"/>
      <c r="E691" s="481"/>
      <c r="F691" s="481"/>
      <c r="G691" s="338">
        <f t="shared" ref="G691:H693" si="59">G692</f>
        <v>1590.90056</v>
      </c>
      <c r="H691" s="338">
        <f t="shared" si="59"/>
        <v>1590.90056</v>
      </c>
      <c r="I691" s="338">
        <f t="shared" si="58"/>
        <v>100</v>
      </c>
      <c r="J691" s="286"/>
    </row>
    <row r="692" spans="1:10" ht="15.75" x14ac:dyDescent="0.25">
      <c r="A692" s="130" t="s">
        <v>185</v>
      </c>
      <c r="B692" s="432">
        <v>905</v>
      </c>
      <c r="C692" s="481" t="s">
        <v>129</v>
      </c>
      <c r="D692" s="481" t="s">
        <v>81</v>
      </c>
      <c r="E692" s="481"/>
      <c r="F692" s="481"/>
      <c r="G692" s="338">
        <f t="shared" si="59"/>
        <v>1590.90056</v>
      </c>
      <c r="H692" s="338">
        <f t="shared" si="59"/>
        <v>1590.90056</v>
      </c>
      <c r="I692" s="338">
        <f t="shared" si="58"/>
        <v>100</v>
      </c>
      <c r="J692" s="330"/>
    </row>
    <row r="693" spans="1:10" ht="15.75" x14ac:dyDescent="0.25">
      <c r="A693" s="116" t="s">
        <v>97</v>
      </c>
      <c r="B693" s="432">
        <v>905</v>
      </c>
      <c r="C693" s="481" t="s">
        <v>129</v>
      </c>
      <c r="D693" s="481" t="s">
        <v>81</v>
      </c>
      <c r="E693" s="481" t="s">
        <v>329</v>
      </c>
      <c r="F693" s="481"/>
      <c r="G693" s="338">
        <f t="shared" si="59"/>
        <v>1590.90056</v>
      </c>
      <c r="H693" s="338">
        <f t="shared" si="59"/>
        <v>1590.90056</v>
      </c>
      <c r="I693" s="338">
        <f t="shared" si="58"/>
        <v>100</v>
      </c>
    </row>
    <row r="694" spans="1:10" ht="31.5" x14ac:dyDescent="0.25">
      <c r="A694" s="116" t="s">
        <v>330</v>
      </c>
      <c r="B694" s="432">
        <v>905</v>
      </c>
      <c r="C694" s="481" t="s">
        <v>129</v>
      </c>
      <c r="D694" s="481" t="s">
        <v>81</v>
      </c>
      <c r="E694" s="481" t="s">
        <v>328</v>
      </c>
      <c r="F694" s="481"/>
      <c r="G694" s="338">
        <f>G695+G698</f>
        <v>1590.90056</v>
      </c>
      <c r="H694" s="338">
        <f>H695+H698</f>
        <v>1590.90056</v>
      </c>
      <c r="I694" s="338">
        <f t="shared" si="58"/>
        <v>100</v>
      </c>
    </row>
    <row r="695" spans="1:10" ht="31.5" x14ac:dyDescent="0.25">
      <c r="A695" s="19" t="s">
        <v>186</v>
      </c>
      <c r="B695" s="482">
        <v>905</v>
      </c>
      <c r="C695" s="268" t="s">
        <v>129</v>
      </c>
      <c r="D695" s="268" t="s">
        <v>81</v>
      </c>
      <c r="E695" s="268" t="s">
        <v>392</v>
      </c>
      <c r="F695" s="268"/>
      <c r="G695" s="337">
        <f>G696</f>
        <v>390.90055999999998</v>
      </c>
      <c r="H695" s="337">
        <f>H696</f>
        <v>390.90055999999998</v>
      </c>
      <c r="I695" s="337">
        <f t="shared" si="58"/>
        <v>100</v>
      </c>
    </row>
    <row r="696" spans="1:10" ht="31.5" x14ac:dyDescent="0.25">
      <c r="A696" s="335" t="s">
        <v>88</v>
      </c>
      <c r="B696" s="482">
        <v>905</v>
      </c>
      <c r="C696" s="268" t="s">
        <v>129</v>
      </c>
      <c r="D696" s="268" t="s">
        <v>81</v>
      </c>
      <c r="E696" s="268" t="s">
        <v>392</v>
      </c>
      <c r="F696" s="268" t="s">
        <v>89</v>
      </c>
      <c r="G696" s="337">
        <f>G697</f>
        <v>390.90055999999998</v>
      </c>
      <c r="H696" s="337">
        <f>H697</f>
        <v>390.90055999999998</v>
      </c>
      <c r="I696" s="337">
        <f t="shared" si="58"/>
        <v>100</v>
      </c>
    </row>
    <row r="697" spans="1:10" ht="31.5" x14ac:dyDescent="0.25">
      <c r="A697" s="335" t="s">
        <v>90</v>
      </c>
      <c r="B697" s="482">
        <v>905</v>
      </c>
      <c r="C697" s="268" t="s">
        <v>129</v>
      </c>
      <c r="D697" s="268" t="s">
        <v>81</v>
      </c>
      <c r="E697" s="268" t="s">
        <v>392</v>
      </c>
      <c r="F697" s="268" t="s">
        <v>91</v>
      </c>
      <c r="G697" s="337">
        <f>340+21.904+32-3.00344</f>
        <v>390.90055999999998</v>
      </c>
      <c r="H697" s="337">
        <v>390.90055999999998</v>
      </c>
      <c r="I697" s="337">
        <f t="shared" si="58"/>
        <v>100</v>
      </c>
      <c r="J697" s="341"/>
    </row>
    <row r="698" spans="1:10" ht="31.5" x14ac:dyDescent="0.25">
      <c r="A698" s="19" t="s">
        <v>371</v>
      </c>
      <c r="B698" s="482">
        <v>905</v>
      </c>
      <c r="C698" s="268" t="s">
        <v>129</v>
      </c>
      <c r="D698" s="268" t="s">
        <v>81</v>
      </c>
      <c r="E698" s="268" t="s">
        <v>393</v>
      </c>
      <c r="F698" s="268"/>
      <c r="G698" s="337">
        <f>G699</f>
        <v>1200</v>
      </c>
      <c r="H698" s="337">
        <f>H699</f>
        <v>1200</v>
      </c>
      <c r="I698" s="337">
        <f t="shared" si="58"/>
        <v>100</v>
      </c>
    </row>
    <row r="699" spans="1:10" ht="31.5" x14ac:dyDescent="0.25">
      <c r="A699" s="335" t="s">
        <v>88</v>
      </c>
      <c r="B699" s="482">
        <v>905</v>
      </c>
      <c r="C699" s="268" t="s">
        <v>129</v>
      </c>
      <c r="D699" s="268" t="s">
        <v>81</v>
      </c>
      <c r="E699" s="268" t="s">
        <v>393</v>
      </c>
      <c r="F699" s="268" t="s">
        <v>89</v>
      </c>
      <c r="G699" s="337">
        <f>G700</f>
        <v>1200</v>
      </c>
      <c r="H699" s="337">
        <f>H700</f>
        <v>1200</v>
      </c>
      <c r="I699" s="337">
        <f t="shared" si="58"/>
        <v>100</v>
      </c>
    </row>
    <row r="700" spans="1:10" ht="31.5" x14ac:dyDescent="0.25">
      <c r="A700" s="335" t="s">
        <v>90</v>
      </c>
      <c r="B700" s="482">
        <v>905</v>
      </c>
      <c r="C700" s="268" t="s">
        <v>129</v>
      </c>
      <c r="D700" s="268" t="s">
        <v>81</v>
      </c>
      <c r="E700" s="268" t="s">
        <v>393</v>
      </c>
      <c r="F700" s="268" t="s">
        <v>91</v>
      </c>
      <c r="G700" s="337">
        <f>200+1000</f>
        <v>1200</v>
      </c>
      <c r="H700" s="337">
        <v>1200</v>
      </c>
      <c r="I700" s="337">
        <f t="shared" si="58"/>
        <v>100</v>
      </c>
      <c r="J700" s="341"/>
    </row>
    <row r="701" spans="1:10" ht="15.75" x14ac:dyDescent="0.25">
      <c r="A701" s="116" t="s">
        <v>133</v>
      </c>
      <c r="B701" s="432">
        <v>905</v>
      </c>
      <c r="C701" s="481" t="s">
        <v>134</v>
      </c>
      <c r="D701" s="481"/>
      <c r="E701" s="481"/>
      <c r="F701" s="481"/>
      <c r="G701" s="338">
        <f>G702</f>
        <v>16.600000000000001</v>
      </c>
      <c r="H701" s="338">
        <f>H702</f>
        <v>11.48157</v>
      </c>
      <c r="I701" s="338">
        <f t="shared" si="58"/>
        <v>69.166084337349389</v>
      </c>
    </row>
    <row r="702" spans="1:10" ht="15.75" x14ac:dyDescent="0.25">
      <c r="A702" s="116" t="s">
        <v>187</v>
      </c>
      <c r="B702" s="432">
        <v>905</v>
      </c>
      <c r="C702" s="481" t="s">
        <v>134</v>
      </c>
      <c r="D702" s="481" t="s">
        <v>103</v>
      </c>
      <c r="E702" s="481"/>
      <c r="F702" s="481"/>
      <c r="G702" s="338">
        <f>G703</f>
        <v>16.600000000000001</v>
      </c>
      <c r="H702" s="338">
        <f>H703</f>
        <v>11.48157</v>
      </c>
      <c r="I702" s="338">
        <f t="shared" si="58"/>
        <v>69.166084337349389</v>
      </c>
    </row>
    <row r="703" spans="1:10" ht="31.5" x14ac:dyDescent="0.25">
      <c r="A703" s="116" t="s">
        <v>338</v>
      </c>
      <c r="B703" s="432">
        <v>905</v>
      </c>
      <c r="C703" s="481" t="s">
        <v>134</v>
      </c>
      <c r="D703" s="481" t="s">
        <v>103</v>
      </c>
      <c r="E703" s="481" t="s">
        <v>326</v>
      </c>
      <c r="F703" s="481"/>
      <c r="G703" s="338">
        <f t="shared" ref="G703:H705" si="60">G704</f>
        <v>16.600000000000001</v>
      </c>
      <c r="H703" s="338">
        <f t="shared" si="60"/>
        <v>11.48157</v>
      </c>
      <c r="I703" s="338">
        <f t="shared" si="58"/>
        <v>69.166084337349389</v>
      </c>
    </row>
    <row r="704" spans="1:10" ht="78.75" x14ac:dyDescent="0.25">
      <c r="A704" s="20" t="s">
        <v>550</v>
      </c>
      <c r="B704" s="482">
        <v>905</v>
      </c>
      <c r="C704" s="268" t="s">
        <v>134</v>
      </c>
      <c r="D704" s="268" t="s">
        <v>103</v>
      </c>
      <c r="E704" s="268" t="s">
        <v>549</v>
      </c>
      <c r="F704" s="268"/>
      <c r="G704" s="337">
        <f>G705+G707</f>
        <v>16.600000000000001</v>
      </c>
      <c r="H704" s="337">
        <f>H705+H707</f>
        <v>11.48157</v>
      </c>
      <c r="I704" s="337">
        <f t="shared" si="58"/>
        <v>69.166084337349389</v>
      </c>
    </row>
    <row r="705" spans="1:10" ht="78.75" hidden="1" x14ac:dyDescent="0.25">
      <c r="A705" s="335" t="s">
        <v>84</v>
      </c>
      <c r="B705" s="482">
        <v>905</v>
      </c>
      <c r="C705" s="268" t="s">
        <v>134</v>
      </c>
      <c r="D705" s="268" t="s">
        <v>103</v>
      </c>
      <c r="E705" s="268" t="s">
        <v>549</v>
      </c>
      <c r="F705" s="268" t="s">
        <v>85</v>
      </c>
      <c r="G705" s="337">
        <f t="shared" si="60"/>
        <v>0</v>
      </c>
      <c r="H705" s="337">
        <f t="shared" si="60"/>
        <v>0</v>
      </c>
      <c r="I705" s="337" t="e">
        <f t="shared" si="58"/>
        <v>#DIV/0!</v>
      </c>
    </row>
    <row r="706" spans="1:10" ht="31.5" hidden="1" x14ac:dyDescent="0.25">
      <c r="A706" s="335" t="s">
        <v>86</v>
      </c>
      <c r="B706" s="482">
        <v>905</v>
      </c>
      <c r="C706" s="268" t="s">
        <v>134</v>
      </c>
      <c r="D706" s="268" t="s">
        <v>103</v>
      </c>
      <c r="E706" s="268" t="s">
        <v>549</v>
      </c>
      <c r="F706" s="268" t="s">
        <v>87</v>
      </c>
      <c r="G706" s="337">
        <f>28.7-22-6.7</f>
        <v>0</v>
      </c>
      <c r="H706" s="337">
        <f>28.7-22-6.7</f>
        <v>0</v>
      </c>
      <c r="I706" s="337" t="e">
        <f t="shared" si="58"/>
        <v>#DIV/0!</v>
      </c>
    </row>
    <row r="707" spans="1:10" ht="31.5" x14ac:dyDescent="0.25">
      <c r="A707" s="335" t="s">
        <v>88</v>
      </c>
      <c r="B707" s="482">
        <v>905</v>
      </c>
      <c r="C707" s="268" t="s">
        <v>134</v>
      </c>
      <c r="D707" s="268" t="s">
        <v>103</v>
      </c>
      <c r="E707" s="268" t="s">
        <v>549</v>
      </c>
      <c r="F707" s="268" t="s">
        <v>89</v>
      </c>
      <c r="G707" s="337">
        <f>G708</f>
        <v>16.600000000000001</v>
      </c>
      <c r="H707" s="337">
        <f>H708</f>
        <v>11.48157</v>
      </c>
      <c r="I707" s="337">
        <f t="shared" si="58"/>
        <v>69.166084337349389</v>
      </c>
    </row>
    <row r="708" spans="1:10" ht="31.5" x14ac:dyDescent="0.25">
      <c r="A708" s="335" t="s">
        <v>90</v>
      </c>
      <c r="B708" s="482">
        <v>905</v>
      </c>
      <c r="C708" s="268" t="s">
        <v>134</v>
      </c>
      <c r="D708" s="268" t="s">
        <v>103</v>
      </c>
      <c r="E708" s="268" t="s">
        <v>549</v>
      </c>
      <c r="F708" s="268" t="s">
        <v>91</v>
      </c>
      <c r="G708" s="337">
        <f>19.5-2.9</f>
        <v>16.600000000000001</v>
      </c>
      <c r="H708" s="337">
        <v>11.48157</v>
      </c>
      <c r="I708" s="337">
        <f t="shared" si="58"/>
        <v>69.166084337349389</v>
      </c>
    </row>
    <row r="709" spans="1:10" ht="31.5" x14ac:dyDescent="0.25">
      <c r="A709" s="115" t="s">
        <v>878</v>
      </c>
      <c r="B709" s="432">
        <v>906</v>
      </c>
      <c r="C709" s="481"/>
      <c r="D709" s="481"/>
      <c r="E709" s="481"/>
      <c r="F709" s="481"/>
      <c r="G709" s="338">
        <f>G722+G710</f>
        <v>405460.85843999998</v>
      </c>
      <c r="H709" s="338">
        <f>H722+H710</f>
        <v>401327.13626</v>
      </c>
      <c r="I709" s="338">
        <f t="shared" si="58"/>
        <v>98.980487982020165</v>
      </c>
      <c r="J709" s="281"/>
    </row>
    <row r="710" spans="1:10" ht="15.75" hidden="1" x14ac:dyDescent="0.25">
      <c r="A710" s="116" t="s">
        <v>80</v>
      </c>
      <c r="B710" s="432">
        <v>906</v>
      </c>
      <c r="C710" s="481" t="s">
        <v>81</v>
      </c>
      <c r="D710" s="481"/>
      <c r="E710" s="481"/>
      <c r="F710" s="481"/>
      <c r="G710" s="338">
        <f t="shared" ref="G710:H715" si="61">G711</f>
        <v>0</v>
      </c>
      <c r="H710" s="338">
        <f t="shared" si="61"/>
        <v>0</v>
      </c>
      <c r="I710" s="338" t="e">
        <f t="shared" si="58"/>
        <v>#DIV/0!</v>
      </c>
    </row>
    <row r="711" spans="1:10" ht="15.75" hidden="1" x14ac:dyDescent="0.25">
      <c r="A711" s="22" t="s">
        <v>95</v>
      </c>
      <c r="B711" s="432">
        <v>906</v>
      </c>
      <c r="C711" s="481" t="s">
        <v>81</v>
      </c>
      <c r="D711" s="481" t="s">
        <v>96</v>
      </c>
      <c r="E711" s="481"/>
      <c r="F711" s="481"/>
      <c r="G711" s="338">
        <f>G712+G717</f>
        <v>0</v>
      </c>
      <c r="H711" s="338">
        <f>H712+H717</f>
        <v>0</v>
      </c>
      <c r="I711" s="338" t="e">
        <f t="shared" si="58"/>
        <v>#DIV/0!</v>
      </c>
    </row>
    <row r="712" spans="1:10" ht="31.5" hidden="1" x14ac:dyDescent="0.25">
      <c r="A712" s="116" t="s">
        <v>1001</v>
      </c>
      <c r="B712" s="432">
        <v>906</v>
      </c>
      <c r="C712" s="481" t="s">
        <v>81</v>
      </c>
      <c r="D712" s="481" t="s">
        <v>96</v>
      </c>
      <c r="E712" s="481" t="s">
        <v>165</v>
      </c>
      <c r="F712" s="481"/>
      <c r="G712" s="338">
        <f t="shared" si="61"/>
        <v>0</v>
      </c>
      <c r="H712" s="338">
        <f t="shared" si="61"/>
        <v>0</v>
      </c>
      <c r="I712" s="338" t="e">
        <f t="shared" si="58"/>
        <v>#DIV/0!</v>
      </c>
    </row>
    <row r="713" spans="1:10" ht="31.5" hidden="1" x14ac:dyDescent="0.25">
      <c r="A713" s="81" t="s">
        <v>472</v>
      </c>
      <c r="B713" s="432">
        <v>906</v>
      </c>
      <c r="C713" s="481" t="s">
        <v>81</v>
      </c>
      <c r="D713" s="481" t="s">
        <v>96</v>
      </c>
      <c r="E713" s="481" t="s">
        <v>473</v>
      </c>
      <c r="F713" s="481"/>
      <c r="G713" s="338">
        <f t="shared" si="61"/>
        <v>0</v>
      </c>
      <c r="H713" s="338">
        <f t="shared" si="61"/>
        <v>0</v>
      </c>
      <c r="I713" s="338" t="e">
        <f t="shared" si="58"/>
        <v>#DIV/0!</v>
      </c>
    </row>
    <row r="714" spans="1:10" ht="31.5" hidden="1" x14ac:dyDescent="0.25">
      <c r="A714" s="66" t="s">
        <v>166</v>
      </c>
      <c r="B714" s="482">
        <v>906</v>
      </c>
      <c r="C714" s="268" t="s">
        <v>81</v>
      </c>
      <c r="D714" s="268" t="s">
        <v>96</v>
      </c>
      <c r="E714" s="268" t="s">
        <v>474</v>
      </c>
      <c r="F714" s="268"/>
      <c r="G714" s="337">
        <f t="shared" si="61"/>
        <v>0</v>
      </c>
      <c r="H714" s="337">
        <f t="shared" si="61"/>
        <v>0</v>
      </c>
      <c r="I714" s="338" t="e">
        <f t="shared" si="58"/>
        <v>#DIV/0!</v>
      </c>
    </row>
    <row r="715" spans="1:10" ht="31.5" hidden="1" x14ac:dyDescent="0.25">
      <c r="A715" s="335" t="s">
        <v>88</v>
      </c>
      <c r="B715" s="482">
        <v>906</v>
      </c>
      <c r="C715" s="268" t="s">
        <v>81</v>
      </c>
      <c r="D715" s="268" t="s">
        <v>96</v>
      </c>
      <c r="E715" s="268" t="s">
        <v>474</v>
      </c>
      <c r="F715" s="268" t="s">
        <v>89</v>
      </c>
      <c r="G715" s="337">
        <f t="shared" si="61"/>
        <v>0</v>
      </c>
      <c r="H715" s="337">
        <f t="shared" si="61"/>
        <v>0</v>
      </c>
      <c r="I715" s="338" t="e">
        <f t="shared" si="58"/>
        <v>#DIV/0!</v>
      </c>
    </row>
    <row r="716" spans="1:10" ht="31.5" hidden="1" x14ac:dyDescent="0.25">
      <c r="A716" s="335" t="s">
        <v>90</v>
      </c>
      <c r="B716" s="482">
        <v>906</v>
      </c>
      <c r="C716" s="268" t="s">
        <v>81</v>
      </c>
      <c r="D716" s="268" t="s">
        <v>96</v>
      </c>
      <c r="E716" s="268" t="s">
        <v>474</v>
      </c>
      <c r="F716" s="268" t="s">
        <v>91</v>
      </c>
      <c r="G716" s="337">
        <v>0</v>
      </c>
      <c r="H716" s="337">
        <v>0</v>
      </c>
      <c r="I716" s="338" t="e">
        <f t="shared" ref="I716:I779" si="62">H716/G716*100</f>
        <v>#DIV/0!</v>
      </c>
    </row>
    <row r="717" spans="1:10" ht="69" hidden="1" customHeight="1" x14ac:dyDescent="0.25">
      <c r="A717" s="130" t="s">
        <v>899</v>
      </c>
      <c r="B717" s="432">
        <v>906</v>
      </c>
      <c r="C717" s="488" t="s">
        <v>81</v>
      </c>
      <c r="D717" s="488" t="s">
        <v>96</v>
      </c>
      <c r="E717" s="398" t="s">
        <v>291</v>
      </c>
      <c r="F717" s="488"/>
      <c r="G717" s="338">
        <f t="shared" ref="G717:H720" si="63">G718</f>
        <v>0</v>
      </c>
      <c r="H717" s="338">
        <f t="shared" si="63"/>
        <v>0</v>
      </c>
      <c r="I717" s="338" t="e">
        <f t="shared" si="62"/>
        <v>#DIV/0!</v>
      </c>
    </row>
    <row r="718" spans="1:10" ht="47.25" hidden="1" x14ac:dyDescent="0.25">
      <c r="A718" s="81" t="s">
        <v>317</v>
      </c>
      <c r="B718" s="432">
        <v>906</v>
      </c>
      <c r="C718" s="488" t="s">
        <v>81</v>
      </c>
      <c r="D718" s="488" t="s">
        <v>96</v>
      </c>
      <c r="E718" s="398" t="s">
        <v>491</v>
      </c>
      <c r="F718" s="488"/>
      <c r="G718" s="338">
        <f t="shared" si="63"/>
        <v>0</v>
      </c>
      <c r="H718" s="338">
        <f t="shared" si="63"/>
        <v>0</v>
      </c>
      <c r="I718" s="338" t="e">
        <f t="shared" si="62"/>
        <v>#DIV/0!</v>
      </c>
    </row>
    <row r="719" spans="1:10" ht="31.5" hidden="1" x14ac:dyDescent="0.25">
      <c r="A719" s="66" t="s">
        <v>108</v>
      </c>
      <c r="B719" s="482">
        <v>906</v>
      </c>
      <c r="C719" s="489" t="s">
        <v>81</v>
      </c>
      <c r="D719" s="489" t="s">
        <v>96</v>
      </c>
      <c r="E719" s="399" t="s">
        <v>318</v>
      </c>
      <c r="F719" s="489"/>
      <c r="G719" s="337">
        <f t="shared" si="63"/>
        <v>0</v>
      </c>
      <c r="H719" s="337">
        <f t="shared" si="63"/>
        <v>0</v>
      </c>
      <c r="I719" s="338" t="e">
        <f t="shared" si="62"/>
        <v>#DIV/0!</v>
      </c>
    </row>
    <row r="720" spans="1:10" ht="31.5" hidden="1" x14ac:dyDescent="0.25">
      <c r="A720" s="335" t="s">
        <v>88</v>
      </c>
      <c r="B720" s="482">
        <v>906</v>
      </c>
      <c r="C720" s="489" t="s">
        <v>81</v>
      </c>
      <c r="D720" s="489" t="s">
        <v>96</v>
      </c>
      <c r="E720" s="399" t="s">
        <v>318</v>
      </c>
      <c r="F720" s="489" t="s">
        <v>89</v>
      </c>
      <c r="G720" s="337">
        <f t="shared" si="63"/>
        <v>0</v>
      </c>
      <c r="H720" s="337">
        <f t="shared" si="63"/>
        <v>0</v>
      </c>
      <c r="I720" s="338" t="e">
        <f t="shared" si="62"/>
        <v>#DIV/0!</v>
      </c>
    </row>
    <row r="721" spans="1:10" ht="31.5" hidden="1" x14ac:dyDescent="0.25">
      <c r="A721" s="335" t="s">
        <v>90</v>
      </c>
      <c r="B721" s="482">
        <v>906</v>
      </c>
      <c r="C721" s="489" t="s">
        <v>81</v>
      </c>
      <c r="D721" s="489" t="s">
        <v>96</v>
      </c>
      <c r="E721" s="399" t="s">
        <v>318</v>
      </c>
      <c r="F721" s="489" t="s">
        <v>91</v>
      </c>
      <c r="G721" s="337">
        <v>0</v>
      </c>
      <c r="H721" s="337">
        <v>0</v>
      </c>
      <c r="I721" s="338" t="e">
        <f t="shared" si="62"/>
        <v>#DIV/0!</v>
      </c>
    </row>
    <row r="722" spans="1:10" ht="15.75" x14ac:dyDescent="0.25">
      <c r="A722" s="116" t="s">
        <v>144</v>
      </c>
      <c r="B722" s="432">
        <v>906</v>
      </c>
      <c r="C722" s="481" t="s">
        <v>145</v>
      </c>
      <c r="D722" s="481"/>
      <c r="E722" s="481"/>
      <c r="F722" s="481"/>
      <c r="G722" s="338">
        <f>G723+G771+G844+G884+G877</f>
        <v>405460.85843999998</v>
      </c>
      <c r="H722" s="338">
        <f>H723+H771+H844+H884+H877</f>
        <v>401327.13626</v>
      </c>
      <c r="I722" s="338">
        <f t="shared" si="62"/>
        <v>98.980487982020165</v>
      </c>
    </row>
    <row r="723" spans="1:10" ht="15.75" x14ac:dyDescent="0.25">
      <c r="A723" s="116" t="s">
        <v>188</v>
      </c>
      <c r="B723" s="432">
        <v>906</v>
      </c>
      <c r="C723" s="481" t="s">
        <v>145</v>
      </c>
      <c r="D723" s="481" t="s">
        <v>81</v>
      </c>
      <c r="E723" s="481"/>
      <c r="F723" s="481"/>
      <c r="G723" s="338">
        <f>G724+G761+G766</f>
        <v>102792.86929999998</v>
      </c>
      <c r="H723" s="338">
        <f>H724+H761+H766</f>
        <v>101697.55085000001</v>
      </c>
      <c r="I723" s="338">
        <f t="shared" si="62"/>
        <v>98.934441214202039</v>
      </c>
      <c r="J723" s="281"/>
    </row>
    <row r="724" spans="1:10" ht="36" customHeight="1" x14ac:dyDescent="0.25">
      <c r="A724" s="116" t="s">
        <v>885</v>
      </c>
      <c r="B724" s="432">
        <v>906</v>
      </c>
      <c r="C724" s="481" t="s">
        <v>145</v>
      </c>
      <c r="D724" s="481" t="s">
        <v>81</v>
      </c>
      <c r="E724" s="481" t="s">
        <v>189</v>
      </c>
      <c r="F724" s="481"/>
      <c r="G724" s="338">
        <f>G725+G729+G733+G743+G753+G757</f>
        <v>101545.58929999998</v>
      </c>
      <c r="H724" s="338">
        <f>H725+H729+H733+H743+H753+H757</f>
        <v>100464.95015</v>
      </c>
      <c r="I724" s="338">
        <f t="shared" si="62"/>
        <v>98.935808874172366</v>
      </c>
    </row>
    <row r="725" spans="1:10" ht="38.25" customHeight="1" x14ac:dyDescent="0.25">
      <c r="A725" s="116" t="s">
        <v>375</v>
      </c>
      <c r="B725" s="432">
        <v>906</v>
      </c>
      <c r="C725" s="481" t="s">
        <v>145</v>
      </c>
      <c r="D725" s="481" t="s">
        <v>81</v>
      </c>
      <c r="E725" s="481" t="s">
        <v>582</v>
      </c>
      <c r="F725" s="481"/>
      <c r="G725" s="338">
        <f>G726</f>
        <v>17214.309999999998</v>
      </c>
      <c r="H725" s="338">
        <f>H726</f>
        <v>16949.782999999999</v>
      </c>
      <c r="I725" s="338">
        <f t="shared" si="62"/>
        <v>98.463330798620461</v>
      </c>
    </row>
    <row r="726" spans="1:10" ht="31.5" x14ac:dyDescent="0.25">
      <c r="A726" s="335" t="s">
        <v>581</v>
      </c>
      <c r="B726" s="482">
        <v>906</v>
      </c>
      <c r="C726" s="268" t="s">
        <v>145</v>
      </c>
      <c r="D726" s="268" t="s">
        <v>81</v>
      </c>
      <c r="E726" s="268" t="s">
        <v>583</v>
      </c>
      <c r="F726" s="268"/>
      <c r="G726" s="337">
        <f t="shared" ref="G726:H727" si="64">G727</f>
        <v>17214.309999999998</v>
      </c>
      <c r="H726" s="337">
        <f t="shared" si="64"/>
        <v>16949.782999999999</v>
      </c>
      <c r="I726" s="337">
        <f t="shared" si="62"/>
        <v>98.463330798620461</v>
      </c>
    </row>
    <row r="727" spans="1:10" ht="31.5" x14ac:dyDescent="0.25">
      <c r="A727" s="335" t="s">
        <v>149</v>
      </c>
      <c r="B727" s="482">
        <v>906</v>
      </c>
      <c r="C727" s="268" t="s">
        <v>145</v>
      </c>
      <c r="D727" s="268" t="s">
        <v>81</v>
      </c>
      <c r="E727" s="268" t="s">
        <v>583</v>
      </c>
      <c r="F727" s="268" t="s">
        <v>150</v>
      </c>
      <c r="G727" s="337">
        <f t="shared" si="64"/>
        <v>17214.309999999998</v>
      </c>
      <c r="H727" s="337">
        <f t="shared" si="64"/>
        <v>16949.782999999999</v>
      </c>
      <c r="I727" s="337">
        <f t="shared" si="62"/>
        <v>98.463330798620461</v>
      </c>
    </row>
    <row r="728" spans="1:10" ht="27.75" customHeight="1" x14ac:dyDescent="0.25">
      <c r="A728" s="335" t="s">
        <v>151</v>
      </c>
      <c r="B728" s="482">
        <v>906</v>
      </c>
      <c r="C728" s="268" t="s">
        <v>145</v>
      </c>
      <c r="D728" s="268" t="s">
        <v>81</v>
      </c>
      <c r="E728" s="268" t="s">
        <v>583</v>
      </c>
      <c r="F728" s="268" t="s">
        <v>152</v>
      </c>
      <c r="G728" s="271">
        <f>17648.58+40+12.3+7.64-47.4+208.75+50.2+186.525+82+47+31.5+18.05+87.425+49.788-27.2-117.5+68-896.993-289.181+39.144-14.9+30.582</f>
        <v>17214.309999999998</v>
      </c>
      <c r="H728" s="271">
        <v>16949.782999999999</v>
      </c>
      <c r="I728" s="337">
        <f t="shared" si="62"/>
        <v>98.463330798620461</v>
      </c>
      <c r="J728" s="341"/>
    </row>
    <row r="729" spans="1:10" ht="49.5" customHeight="1" x14ac:dyDescent="0.25">
      <c r="A729" s="116" t="s">
        <v>349</v>
      </c>
      <c r="B729" s="432">
        <v>906</v>
      </c>
      <c r="C729" s="481" t="s">
        <v>145</v>
      </c>
      <c r="D729" s="481" t="s">
        <v>81</v>
      </c>
      <c r="E729" s="481" t="s">
        <v>584</v>
      </c>
      <c r="F729" s="481"/>
      <c r="G729" s="273">
        <f t="shared" ref="G729:H731" si="65">G730</f>
        <v>75261.147999999986</v>
      </c>
      <c r="H729" s="273">
        <f t="shared" si="65"/>
        <v>74608.226809999993</v>
      </c>
      <c r="I729" s="338">
        <f t="shared" si="62"/>
        <v>99.132459167378101</v>
      </c>
    </row>
    <row r="730" spans="1:10" ht="47.25" x14ac:dyDescent="0.25">
      <c r="A730" s="335" t="s">
        <v>852</v>
      </c>
      <c r="B730" s="482">
        <v>906</v>
      </c>
      <c r="C730" s="268" t="s">
        <v>145</v>
      </c>
      <c r="D730" s="268" t="s">
        <v>81</v>
      </c>
      <c r="E730" s="268" t="s">
        <v>763</v>
      </c>
      <c r="F730" s="268"/>
      <c r="G730" s="337">
        <f t="shared" si="65"/>
        <v>75261.147999999986</v>
      </c>
      <c r="H730" s="337">
        <f t="shared" si="65"/>
        <v>74608.226809999993</v>
      </c>
      <c r="I730" s="337">
        <f t="shared" si="62"/>
        <v>99.132459167378101</v>
      </c>
    </row>
    <row r="731" spans="1:10" ht="31.5" x14ac:dyDescent="0.25">
      <c r="A731" s="335" t="s">
        <v>149</v>
      </c>
      <c r="B731" s="482">
        <v>906</v>
      </c>
      <c r="C731" s="268" t="s">
        <v>145</v>
      </c>
      <c r="D731" s="268" t="s">
        <v>81</v>
      </c>
      <c r="E731" s="268" t="s">
        <v>763</v>
      </c>
      <c r="F731" s="268" t="s">
        <v>150</v>
      </c>
      <c r="G731" s="337">
        <f t="shared" si="65"/>
        <v>75261.147999999986</v>
      </c>
      <c r="H731" s="337">
        <f t="shared" si="65"/>
        <v>74608.226809999993</v>
      </c>
      <c r="I731" s="337">
        <f t="shared" si="62"/>
        <v>99.132459167378101</v>
      </c>
    </row>
    <row r="732" spans="1:10" ht="15.75" x14ac:dyDescent="0.25">
      <c r="A732" s="335" t="s">
        <v>151</v>
      </c>
      <c r="B732" s="482">
        <v>906</v>
      </c>
      <c r="C732" s="268" t="s">
        <v>145</v>
      </c>
      <c r="D732" s="268" t="s">
        <v>81</v>
      </c>
      <c r="E732" s="268" t="s">
        <v>763</v>
      </c>
      <c r="F732" s="268" t="s">
        <v>152</v>
      </c>
      <c r="G732" s="271">
        <f>77828+1668.5+2900-89.6+200+53-674.4+391+120-400-801-400+2185-2185-4456.25+5.4+6.8+16.9+869.86+438.5+1083.09+2035.7+938.459+283.415-150-45.3+45.3+150-935.15-1195.27-1198.1-3722.8-89.9+295.694+89.3</f>
        <v>75261.147999999986</v>
      </c>
      <c r="H732" s="271">
        <v>74608.226809999993</v>
      </c>
      <c r="I732" s="337">
        <f t="shared" si="62"/>
        <v>99.132459167378101</v>
      </c>
    </row>
    <row r="733" spans="1:10" ht="30.2" customHeight="1" x14ac:dyDescent="0.25">
      <c r="A733" s="116" t="s">
        <v>595</v>
      </c>
      <c r="B733" s="432">
        <v>906</v>
      </c>
      <c r="C733" s="481" t="s">
        <v>145</v>
      </c>
      <c r="D733" s="481" t="s">
        <v>81</v>
      </c>
      <c r="E733" s="481" t="s">
        <v>586</v>
      </c>
      <c r="F733" s="481"/>
      <c r="G733" s="338">
        <f>G734+G737+G740</f>
        <v>5366.5420300000005</v>
      </c>
      <c r="H733" s="338">
        <f>H734+H737+H740</f>
        <v>5257.9536799999996</v>
      </c>
      <c r="I733" s="338">
        <f t="shared" si="62"/>
        <v>97.976567603626862</v>
      </c>
    </row>
    <row r="734" spans="1:10" ht="35.450000000000003" customHeight="1" x14ac:dyDescent="0.25">
      <c r="A734" s="335" t="s">
        <v>153</v>
      </c>
      <c r="B734" s="482">
        <v>906</v>
      </c>
      <c r="C734" s="268" t="s">
        <v>145</v>
      </c>
      <c r="D734" s="268" t="s">
        <v>81</v>
      </c>
      <c r="E734" s="268" t="s">
        <v>631</v>
      </c>
      <c r="F734" s="268"/>
      <c r="G734" s="337">
        <f>G735</f>
        <v>1470.683</v>
      </c>
      <c r="H734" s="337">
        <f>H735</f>
        <v>1470.6823400000001</v>
      </c>
      <c r="I734" s="337">
        <f t="shared" si="62"/>
        <v>99.999955122891876</v>
      </c>
    </row>
    <row r="735" spans="1:10" ht="35.450000000000003" customHeight="1" x14ac:dyDescent="0.25">
      <c r="A735" s="335" t="s">
        <v>149</v>
      </c>
      <c r="B735" s="482">
        <v>906</v>
      </c>
      <c r="C735" s="268" t="s">
        <v>145</v>
      </c>
      <c r="D735" s="268" t="s">
        <v>81</v>
      </c>
      <c r="E735" s="268" t="s">
        <v>631</v>
      </c>
      <c r="F735" s="268" t="s">
        <v>150</v>
      </c>
      <c r="G735" s="337">
        <f>G736</f>
        <v>1470.683</v>
      </c>
      <c r="H735" s="337">
        <f>H736</f>
        <v>1470.6823400000001</v>
      </c>
      <c r="I735" s="337">
        <f t="shared" si="62"/>
        <v>99.999955122891876</v>
      </c>
    </row>
    <row r="736" spans="1:10" ht="26.25" customHeight="1" x14ac:dyDescent="0.25">
      <c r="A736" s="335" t="s">
        <v>151</v>
      </c>
      <c r="B736" s="482">
        <v>906</v>
      </c>
      <c r="C736" s="268" t="s">
        <v>145</v>
      </c>
      <c r="D736" s="268" t="s">
        <v>81</v>
      </c>
      <c r="E736" s="268" t="s">
        <v>631</v>
      </c>
      <c r="F736" s="268" t="s">
        <v>152</v>
      </c>
      <c r="G736" s="337">
        <f>1552.5+200-138.7-143.117</f>
        <v>1470.683</v>
      </c>
      <c r="H736" s="337">
        <v>1470.6823400000001</v>
      </c>
      <c r="I736" s="337">
        <f t="shared" si="62"/>
        <v>99.999955122891876</v>
      </c>
      <c r="J736" s="341"/>
    </row>
    <row r="737" spans="1:10" ht="37.5" hidden="1" customHeight="1" x14ac:dyDescent="0.25">
      <c r="A737" s="335" t="s">
        <v>855</v>
      </c>
      <c r="B737" s="482">
        <v>906</v>
      </c>
      <c r="C737" s="268" t="s">
        <v>145</v>
      </c>
      <c r="D737" s="268" t="s">
        <v>81</v>
      </c>
      <c r="E737" s="268" t="s">
        <v>632</v>
      </c>
      <c r="F737" s="268"/>
      <c r="G737" s="337">
        <f>G738</f>
        <v>0</v>
      </c>
      <c r="H737" s="337">
        <f>H738</f>
        <v>0</v>
      </c>
      <c r="I737" s="337" t="e">
        <f t="shared" si="62"/>
        <v>#DIV/0!</v>
      </c>
    </row>
    <row r="738" spans="1:10" ht="31.5" hidden="1" x14ac:dyDescent="0.25">
      <c r="A738" s="335" t="s">
        <v>149</v>
      </c>
      <c r="B738" s="482">
        <v>906</v>
      </c>
      <c r="C738" s="268" t="s">
        <v>145</v>
      </c>
      <c r="D738" s="268" t="s">
        <v>81</v>
      </c>
      <c r="E738" s="268" t="s">
        <v>632</v>
      </c>
      <c r="F738" s="268" t="s">
        <v>150</v>
      </c>
      <c r="G738" s="337">
        <f>G739</f>
        <v>0</v>
      </c>
      <c r="H738" s="337">
        <f>H739</f>
        <v>0</v>
      </c>
      <c r="I738" s="337" t="e">
        <f t="shared" si="62"/>
        <v>#DIV/0!</v>
      </c>
    </row>
    <row r="739" spans="1:10" ht="15.75" hidden="1" x14ac:dyDescent="0.25">
      <c r="A739" s="335" t="s">
        <v>151</v>
      </c>
      <c r="B739" s="482">
        <v>906</v>
      </c>
      <c r="C739" s="268" t="s">
        <v>145</v>
      </c>
      <c r="D739" s="268" t="s">
        <v>81</v>
      </c>
      <c r="E739" s="268" t="s">
        <v>632</v>
      </c>
      <c r="F739" s="268" t="s">
        <v>152</v>
      </c>
      <c r="G739" s="337"/>
      <c r="H739" s="337"/>
      <c r="I739" s="337" t="e">
        <f t="shared" si="62"/>
        <v>#DIV/0!</v>
      </c>
    </row>
    <row r="740" spans="1:10" ht="31.5" x14ac:dyDescent="0.25">
      <c r="A740" s="19" t="s">
        <v>858</v>
      </c>
      <c r="B740" s="482">
        <v>906</v>
      </c>
      <c r="C740" s="268" t="s">
        <v>145</v>
      </c>
      <c r="D740" s="268" t="s">
        <v>81</v>
      </c>
      <c r="E740" s="268" t="s">
        <v>587</v>
      </c>
      <c r="F740" s="268"/>
      <c r="G740" s="337">
        <f>G741</f>
        <v>3895.8590300000005</v>
      </c>
      <c r="H740" s="337">
        <f>H741</f>
        <v>3787.2713399999998</v>
      </c>
      <c r="I740" s="337">
        <f t="shared" si="62"/>
        <v>97.21274078030487</v>
      </c>
    </row>
    <row r="741" spans="1:10" ht="31.5" x14ac:dyDescent="0.25">
      <c r="A741" s="335" t="s">
        <v>149</v>
      </c>
      <c r="B741" s="482">
        <v>906</v>
      </c>
      <c r="C741" s="268" t="s">
        <v>145</v>
      </c>
      <c r="D741" s="268" t="s">
        <v>81</v>
      </c>
      <c r="E741" s="268" t="s">
        <v>587</v>
      </c>
      <c r="F741" s="268" t="s">
        <v>150</v>
      </c>
      <c r="G741" s="337">
        <f>G742</f>
        <v>3895.8590300000005</v>
      </c>
      <c r="H741" s="337">
        <f>H742</f>
        <v>3787.2713399999998</v>
      </c>
      <c r="I741" s="337">
        <f t="shared" si="62"/>
        <v>97.21274078030487</v>
      </c>
    </row>
    <row r="742" spans="1:10" ht="30" customHeight="1" x14ac:dyDescent="0.25">
      <c r="A742" s="335" t="s">
        <v>151</v>
      </c>
      <c r="B742" s="482">
        <v>906</v>
      </c>
      <c r="C742" s="268" t="s">
        <v>145</v>
      </c>
      <c r="D742" s="268" t="s">
        <v>81</v>
      </c>
      <c r="E742" s="268" t="s">
        <v>587</v>
      </c>
      <c r="F742" s="268" t="s">
        <v>152</v>
      </c>
      <c r="G742" s="271">
        <f>4883.6283-16-109.088-164.11877-162.4625-333.56-202.54</f>
        <v>3895.8590300000005</v>
      </c>
      <c r="H742" s="271">
        <v>3787.2713399999998</v>
      </c>
      <c r="I742" s="337">
        <f t="shared" si="62"/>
        <v>97.21274078030487</v>
      </c>
      <c r="J742" s="341"/>
    </row>
    <row r="743" spans="1:10" ht="31.5" x14ac:dyDescent="0.25">
      <c r="A743" s="80" t="s">
        <v>381</v>
      </c>
      <c r="B743" s="432">
        <v>906</v>
      </c>
      <c r="C743" s="481" t="s">
        <v>145</v>
      </c>
      <c r="D743" s="481" t="s">
        <v>81</v>
      </c>
      <c r="E743" s="481" t="s">
        <v>589</v>
      </c>
      <c r="F743" s="481"/>
      <c r="G743" s="273">
        <f>G744+G747+G750</f>
        <v>2600.0997699999998</v>
      </c>
      <c r="H743" s="273">
        <f>H744+H747+H750</f>
        <v>2551.6911599999999</v>
      </c>
      <c r="I743" s="338">
        <f t="shared" si="62"/>
        <v>98.138201827539874</v>
      </c>
    </row>
    <row r="744" spans="1:10" ht="31.7" customHeight="1" x14ac:dyDescent="0.25">
      <c r="A744" s="335" t="s">
        <v>155</v>
      </c>
      <c r="B744" s="482">
        <v>906</v>
      </c>
      <c r="C744" s="268" t="s">
        <v>145</v>
      </c>
      <c r="D744" s="268" t="s">
        <v>81</v>
      </c>
      <c r="E744" s="268" t="s">
        <v>597</v>
      </c>
      <c r="F744" s="268"/>
      <c r="G744" s="337">
        <f>G745</f>
        <v>94.49</v>
      </c>
      <c r="H744" s="337">
        <f>H745</f>
        <v>94.49</v>
      </c>
      <c r="I744" s="337">
        <f t="shared" si="62"/>
        <v>100</v>
      </c>
    </row>
    <row r="745" spans="1:10" ht="38.25" customHeight="1" x14ac:dyDescent="0.25">
      <c r="A745" s="335" t="s">
        <v>149</v>
      </c>
      <c r="B745" s="482">
        <v>906</v>
      </c>
      <c r="C745" s="268" t="s">
        <v>145</v>
      </c>
      <c r="D745" s="268" t="s">
        <v>81</v>
      </c>
      <c r="E745" s="268" t="s">
        <v>597</v>
      </c>
      <c r="F745" s="268" t="s">
        <v>150</v>
      </c>
      <c r="G745" s="337">
        <f>G746</f>
        <v>94.49</v>
      </c>
      <c r="H745" s="337">
        <f>H746</f>
        <v>94.49</v>
      </c>
      <c r="I745" s="337">
        <f t="shared" si="62"/>
        <v>100</v>
      </c>
    </row>
    <row r="746" spans="1:10" ht="15.75" customHeight="1" x14ac:dyDescent="0.25">
      <c r="A746" s="335" t="s">
        <v>151</v>
      </c>
      <c r="B746" s="482">
        <v>906</v>
      </c>
      <c r="C746" s="268" t="s">
        <v>145</v>
      </c>
      <c r="D746" s="268" t="s">
        <v>81</v>
      </c>
      <c r="E746" s="268" t="s">
        <v>597</v>
      </c>
      <c r="F746" s="268" t="s">
        <v>152</v>
      </c>
      <c r="G746" s="337">
        <f>94.49</f>
        <v>94.49</v>
      </c>
      <c r="H746" s="337">
        <v>94.49</v>
      </c>
      <c r="I746" s="337">
        <f t="shared" si="62"/>
        <v>100</v>
      </c>
    </row>
    <row r="747" spans="1:10" ht="34.5" customHeight="1" x14ac:dyDescent="0.25">
      <c r="A747" s="32" t="s">
        <v>261</v>
      </c>
      <c r="B747" s="482">
        <v>906</v>
      </c>
      <c r="C747" s="268" t="s">
        <v>145</v>
      </c>
      <c r="D747" s="268" t="s">
        <v>81</v>
      </c>
      <c r="E747" s="268" t="s">
        <v>590</v>
      </c>
      <c r="F747" s="268"/>
      <c r="G747" s="337">
        <f>G748</f>
        <v>2130.0617700000003</v>
      </c>
      <c r="H747" s="337">
        <f>H748</f>
        <v>2117.0628700000002</v>
      </c>
      <c r="I747" s="337">
        <f t="shared" si="62"/>
        <v>99.389740702214468</v>
      </c>
    </row>
    <row r="748" spans="1:10" ht="32.25" customHeight="1" x14ac:dyDescent="0.25">
      <c r="A748" s="19" t="s">
        <v>149</v>
      </c>
      <c r="B748" s="482">
        <v>906</v>
      </c>
      <c r="C748" s="268" t="s">
        <v>145</v>
      </c>
      <c r="D748" s="268" t="s">
        <v>81</v>
      </c>
      <c r="E748" s="268" t="s">
        <v>590</v>
      </c>
      <c r="F748" s="268" t="s">
        <v>150</v>
      </c>
      <c r="G748" s="337">
        <f>G749</f>
        <v>2130.0617700000003</v>
      </c>
      <c r="H748" s="337">
        <f>H749</f>
        <v>2117.0628700000002</v>
      </c>
      <c r="I748" s="337">
        <f t="shared" si="62"/>
        <v>99.389740702214468</v>
      </c>
    </row>
    <row r="749" spans="1:10" ht="26.25" customHeight="1" x14ac:dyDescent="0.25">
      <c r="A749" s="68" t="s">
        <v>151</v>
      </c>
      <c r="B749" s="482">
        <v>906</v>
      </c>
      <c r="C749" s="268" t="s">
        <v>145</v>
      </c>
      <c r="D749" s="268" t="s">
        <v>81</v>
      </c>
      <c r="E749" s="268" t="s">
        <v>590</v>
      </c>
      <c r="F749" s="268" t="s">
        <v>152</v>
      </c>
      <c r="G749" s="337">
        <f>2451-208.75-50.2-141.525-82-31.5+138.89177+25.227+28.918</f>
        <v>2130.0617700000003</v>
      </c>
      <c r="H749" s="337">
        <v>2117.0628700000002</v>
      </c>
      <c r="I749" s="337">
        <f t="shared" si="62"/>
        <v>99.389740702214468</v>
      </c>
      <c r="J749" s="341"/>
    </row>
    <row r="750" spans="1:10" ht="50.25" customHeight="1" x14ac:dyDescent="0.25">
      <c r="A750" s="32" t="s">
        <v>262</v>
      </c>
      <c r="B750" s="482">
        <v>906</v>
      </c>
      <c r="C750" s="268" t="s">
        <v>145</v>
      </c>
      <c r="D750" s="268" t="s">
        <v>81</v>
      </c>
      <c r="E750" s="268" t="s">
        <v>591</v>
      </c>
      <c r="F750" s="268"/>
      <c r="G750" s="337">
        <f>G751</f>
        <v>375.548</v>
      </c>
      <c r="H750" s="337">
        <f>H751</f>
        <v>340.13828999999998</v>
      </c>
      <c r="I750" s="337">
        <f t="shared" si="62"/>
        <v>90.571189302033289</v>
      </c>
    </row>
    <row r="751" spans="1:10" ht="31.5" x14ac:dyDescent="0.25">
      <c r="A751" s="19" t="s">
        <v>149</v>
      </c>
      <c r="B751" s="482">
        <v>906</v>
      </c>
      <c r="C751" s="268" t="s">
        <v>145</v>
      </c>
      <c r="D751" s="268" t="s">
        <v>81</v>
      </c>
      <c r="E751" s="268" t="s">
        <v>591</v>
      </c>
      <c r="F751" s="268" t="s">
        <v>150</v>
      </c>
      <c r="G751" s="337">
        <f>G752</f>
        <v>375.548</v>
      </c>
      <c r="H751" s="337">
        <f>H752</f>
        <v>340.13828999999998</v>
      </c>
      <c r="I751" s="337">
        <f t="shared" si="62"/>
        <v>90.571189302033289</v>
      </c>
    </row>
    <row r="752" spans="1:10" ht="27.75" customHeight="1" x14ac:dyDescent="0.25">
      <c r="A752" s="68" t="s">
        <v>151</v>
      </c>
      <c r="B752" s="482">
        <v>906</v>
      </c>
      <c r="C752" s="268" t="s">
        <v>145</v>
      </c>
      <c r="D752" s="268" t="s">
        <v>81</v>
      </c>
      <c r="E752" s="268" t="s">
        <v>591</v>
      </c>
      <c r="F752" s="268" t="s">
        <v>152</v>
      </c>
      <c r="G752" s="337">
        <f>449.62-30-10-12.3-7.64-52-13.9-4.15-15.7+75+27.2-23.1-7.482</f>
        <v>375.548</v>
      </c>
      <c r="H752" s="337">
        <v>340.13828999999998</v>
      </c>
      <c r="I752" s="337">
        <f t="shared" si="62"/>
        <v>90.571189302033289</v>
      </c>
      <c r="J752" s="328"/>
    </row>
    <row r="753" spans="1:9" ht="36" customHeight="1" x14ac:dyDescent="0.25">
      <c r="A753" s="116" t="s">
        <v>737</v>
      </c>
      <c r="B753" s="432">
        <v>906</v>
      </c>
      <c r="C753" s="481" t="s">
        <v>145</v>
      </c>
      <c r="D753" s="481" t="s">
        <v>81</v>
      </c>
      <c r="E753" s="481" t="s">
        <v>592</v>
      </c>
      <c r="F753" s="481"/>
      <c r="G753" s="338">
        <f t="shared" ref="G753:H755" si="66">G754</f>
        <v>398.4</v>
      </c>
      <c r="H753" s="338">
        <f t="shared" si="66"/>
        <v>393.07080000000002</v>
      </c>
      <c r="I753" s="338">
        <f t="shared" si="62"/>
        <v>98.662349397590376</v>
      </c>
    </row>
    <row r="754" spans="1:9" ht="31.5" x14ac:dyDescent="0.25">
      <c r="A754" s="335" t="s">
        <v>738</v>
      </c>
      <c r="B754" s="482">
        <v>906</v>
      </c>
      <c r="C754" s="268" t="s">
        <v>145</v>
      </c>
      <c r="D754" s="268" t="s">
        <v>81</v>
      </c>
      <c r="E754" s="268" t="s">
        <v>739</v>
      </c>
      <c r="F754" s="268"/>
      <c r="G754" s="337">
        <f t="shared" si="66"/>
        <v>398.4</v>
      </c>
      <c r="H754" s="337">
        <f t="shared" si="66"/>
        <v>393.07080000000002</v>
      </c>
      <c r="I754" s="337">
        <f t="shared" si="62"/>
        <v>98.662349397590376</v>
      </c>
    </row>
    <row r="755" spans="1:9" ht="31.5" x14ac:dyDescent="0.25">
      <c r="A755" s="19" t="s">
        <v>149</v>
      </c>
      <c r="B755" s="482">
        <v>906</v>
      </c>
      <c r="C755" s="268" t="s">
        <v>145</v>
      </c>
      <c r="D755" s="268" t="s">
        <v>81</v>
      </c>
      <c r="E755" s="268" t="s">
        <v>739</v>
      </c>
      <c r="F755" s="268" t="s">
        <v>150</v>
      </c>
      <c r="G755" s="337">
        <f t="shared" si="66"/>
        <v>398.4</v>
      </c>
      <c r="H755" s="337">
        <f t="shared" si="66"/>
        <v>393.07080000000002</v>
      </c>
      <c r="I755" s="337">
        <f t="shared" si="62"/>
        <v>98.662349397590376</v>
      </c>
    </row>
    <row r="756" spans="1:9" ht="18.75" customHeight="1" x14ac:dyDescent="0.25">
      <c r="A756" s="68" t="s">
        <v>151</v>
      </c>
      <c r="B756" s="482">
        <v>906</v>
      </c>
      <c r="C756" s="268" t="s">
        <v>145</v>
      </c>
      <c r="D756" s="268" t="s">
        <v>81</v>
      </c>
      <c r="E756" s="268" t="s">
        <v>739</v>
      </c>
      <c r="F756" s="268" t="s">
        <v>152</v>
      </c>
      <c r="G756" s="337">
        <f>598.4-200</f>
        <v>398.4</v>
      </c>
      <c r="H756" s="337">
        <v>393.07080000000002</v>
      </c>
      <c r="I756" s="337">
        <f t="shared" si="62"/>
        <v>98.662349397590376</v>
      </c>
    </row>
    <row r="757" spans="1:9" ht="98.25" customHeight="1" x14ac:dyDescent="0.25">
      <c r="A757" s="116" t="s">
        <v>548</v>
      </c>
      <c r="B757" s="432">
        <v>906</v>
      </c>
      <c r="C757" s="481" t="s">
        <v>145</v>
      </c>
      <c r="D757" s="481" t="s">
        <v>81</v>
      </c>
      <c r="E757" s="481" t="s">
        <v>991</v>
      </c>
      <c r="F757" s="481"/>
      <c r="G757" s="338">
        <f t="shared" ref="G757:H759" si="67">G758</f>
        <v>705.08950000000004</v>
      </c>
      <c r="H757" s="338">
        <f t="shared" si="67"/>
        <v>704.22469999999998</v>
      </c>
      <c r="I757" s="338">
        <f t="shared" si="62"/>
        <v>99.877348903933466</v>
      </c>
    </row>
    <row r="758" spans="1:9" ht="79.5" customHeight="1" x14ac:dyDescent="0.25">
      <c r="A758" s="63" t="s">
        <v>675</v>
      </c>
      <c r="B758" s="482">
        <v>906</v>
      </c>
      <c r="C758" s="268" t="s">
        <v>145</v>
      </c>
      <c r="D758" s="268" t="s">
        <v>81</v>
      </c>
      <c r="E758" s="268" t="s">
        <v>992</v>
      </c>
      <c r="F758" s="268"/>
      <c r="G758" s="337">
        <f t="shared" si="67"/>
        <v>705.08950000000004</v>
      </c>
      <c r="H758" s="337">
        <f t="shared" si="67"/>
        <v>704.22469999999998</v>
      </c>
      <c r="I758" s="337">
        <f t="shared" si="62"/>
        <v>99.877348903933466</v>
      </c>
    </row>
    <row r="759" spans="1:9" ht="33.75" customHeight="1" x14ac:dyDescent="0.25">
      <c r="A759" s="335" t="s">
        <v>149</v>
      </c>
      <c r="B759" s="482">
        <v>906</v>
      </c>
      <c r="C759" s="268" t="s">
        <v>145</v>
      </c>
      <c r="D759" s="268" t="s">
        <v>81</v>
      </c>
      <c r="E759" s="268" t="s">
        <v>992</v>
      </c>
      <c r="F759" s="268" t="s">
        <v>150</v>
      </c>
      <c r="G759" s="337">
        <f t="shared" si="67"/>
        <v>705.08950000000004</v>
      </c>
      <c r="H759" s="337">
        <f t="shared" si="67"/>
        <v>704.22469999999998</v>
      </c>
      <c r="I759" s="337">
        <f t="shared" si="62"/>
        <v>99.877348903933466</v>
      </c>
    </row>
    <row r="760" spans="1:9" ht="18.75" customHeight="1" x14ac:dyDescent="0.25">
      <c r="A760" s="335" t="s">
        <v>151</v>
      </c>
      <c r="B760" s="482">
        <v>906</v>
      </c>
      <c r="C760" s="268" t="s">
        <v>145</v>
      </c>
      <c r="D760" s="268" t="s">
        <v>81</v>
      </c>
      <c r="E760" s="268" t="s">
        <v>992</v>
      </c>
      <c r="F760" s="268" t="s">
        <v>152</v>
      </c>
      <c r="G760" s="337">
        <f>701.0755+4.014</f>
        <v>705.08950000000004</v>
      </c>
      <c r="H760" s="337">
        <v>704.22469999999998</v>
      </c>
      <c r="I760" s="337">
        <f t="shared" si="62"/>
        <v>99.877348903933466</v>
      </c>
    </row>
    <row r="761" spans="1:9" ht="46.9" customHeight="1" x14ac:dyDescent="0.25">
      <c r="A761" s="22" t="s">
        <v>894</v>
      </c>
      <c r="B761" s="432">
        <v>906</v>
      </c>
      <c r="C761" s="481" t="s">
        <v>145</v>
      </c>
      <c r="D761" s="481" t="s">
        <v>81</v>
      </c>
      <c r="E761" s="481" t="s">
        <v>162</v>
      </c>
      <c r="F761" s="481"/>
      <c r="G761" s="338">
        <f t="shared" ref="G761:H764" si="68">G762</f>
        <v>25</v>
      </c>
      <c r="H761" s="338">
        <f t="shared" si="68"/>
        <v>24.997</v>
      </c>
      <c r="I761" s="338">
        <f t="shared" si="62"/>
        <v>99.988</v>
      </c>
    </row>
    <row r="762" spans="1:9" ht="68.25" customHeight="1" x14ac:dyDescent="0.25">
      <c r="A762" s="22" t="s">
        <v>437</v>
      </c>
      <c r="B762" s="432">
        <v>906</v>
      </c>
      <c r="C762" s="481" t="s">
        <v>145</v>
      </c>
      <c r="D762" s="481" t="s">
        <v>81</v>
      </c>
      <c r="E762" s="481" t="s">
        <v>372</v>
      </c>
      <c r="F762" s="481"/>
      <c r="G762" s="338">
        <f t="shared" si="68"/>
        <v>25</v>
      </c>
      <c r="H762" s="338">
        <f t="shared" si="68"/>
        <v>24.997</v>
      </c>
      <c r="I762" s="338">
        <f t="shared" si="62"/>
        <v>99.988</v>
      </c>
    </row>
    <row r="763" spans="1:9" ht="48.95" customHeight="1" x14ac:dyDescent="0.25">
      <c r="A763" s="20" t="s">
        <v>494</v>
      </c>
      <c r="B763" s="482">
        <v>906</v>
      </c>
      <c r="C763" s="268" t="s">
        <v>145</v>
      </c>
      <c r="D763" s="268" t="s">
        <v>81</v>
      </c>
      <c r="E763" s="268" t="s">
        <v>373</v>
      </c>
      <c r="F763" s="268"/>
      <c r="G763" s="337">
        <f t="shared" si="68"/>
        <v>25</v>
      </c>
      <c r="H763" s="337">
        <f t="shared" si="68"/>
        <v>24.997</v>
      </c>
      <c r="I763" s="337">
        <f t="shared" si="62"/>
        <v>99.988</v>
      </c>
    </row>
    <row r="764" spans="1:9" ht="42" customHeight="1" x14ac:dyDescent="0.25">
      <c r="A764" s="20" t="s">
        <v>149</v>
      </c>
      <c r="B764" s="482">
        <v>906</v>
      </c>
      <c r="C764" s="268" t="s">
        <v>145</v>
      </c>
      <c r="D764" s="268" t="s">
        <v>81</v>
      </c>
      <c r="E764" s="268" t="s">
        <v>373</v>
      </c>
      <c r="F764" s="268" t="s">
        <v>150</v>
      </c>
      <c r="G764" s="337">
        <f t="shared" si="68"/>
        <v>25</v>
      </c>
      <c r="H764" s="337">
        <f t="shared" si="68"/>
        <v>24.997</v>
      </c>
      <c r="I764" s="337">
        <f t="shared" si="62"/>
        <v>99.988</v>
      </c>
    </row>
    <row r="765" spans="1:9" ht="16.5" customHeight="1" x14ac:dyDescent="0.25">
      <c r="A765" s="20" t="s">
        <v>151</v>
      </c>
      <c r="B765" s="482">
        <v>906</v>
      </c>
      <c r="C765" s="268" t="s">
        <v>145</v>
      </c>
      <c r="D765" s="268" t="s">
        <v>81</v>
      </c>
      <c r="E765" s="268" t="s">
        <v>373</v>
      </c>
      <c r="F765" s="268" t="s">
        <v>152</v>
      </c>
      <c r="G765" s="337">
        <v>25</v>
      </c>
      <c r="H765" s="337">
        <v>24.997</v>
      </c>
      <c r="I765" s="337">
        <f t="shared" si="62"/>
        <v>99.988</v>
      </c>
    </row>
    <row r="766" spans="1:9" ht="46.5" customHeight="1" x14ac:dyDescent="0.25">
      <c r="A766" s="130" t="s">
        <v>853</v>
      </c>
      <c r="B766" s="432">
        <v>906</v>
      </c>
      <c r="C766" s="481" t="s">
        <v>145</v>
      </c>
      <c r="D766" s="481" t="s">
        <v>81</v>
      </c>
      <c r="E766" s="481" t="s">
        <v>259</v>
      </c>
      <c r="F766" s="486"/>
      <c r="G766" s="338">
        <f>G768</f>
        <v>1222.2800000000002</v>
      </c>
      <c r="H766" s="338">
        <f>H768</f>
        <v>1207.6036999999999</v>
      </c>
      <c r="I766" s="338">
        <f t="shared" si="62"/>
        <v>98.799268580030741</v>
      </c>
    </row>
    <row r="767" spans="1:9" ht="46.5" customHeight="1" x14ac:dyDescent="0.25">
      <c r="A767" s="130" t="s">
        <v>341</v>
      </c>
      <c r="B767" s="432">
        <v>906</v>
      </c>
      <c r="C767" s="481" t="s">
        <v>145</v>
      </c>
      <c r="D767" s="481" t="s">
        <v>81</v>
      </c>
      <c r="E767" s="481" t="s">
        <v>339</v>
      </c>
      <c r="F767" s="486"/>
      <c r="G767" s="338">
        <f t="shared" ref="G767:H769" si="69">G768</f>
        <v>1222.2800000000002</v>
      </c>
      <c r="H767" s="338">
        <f t="shared" si="69"/>
        <v>1207.6036999999999</v>
      </c>
      <c r="I767" s="338">
        <f t="shared" si="62"/>
        <v>98.799268580030741</v>
      </c>
    </row>
    <row r="768" spans="1:9" ht="54" customHeight="1" x14ac:dyDescent="0.25">
      <c r="A768" s="26" t="s">
        <v>274</v>
      </c>
      <c r="B768" s="482">
        <v>906</v>
      </c>
      <c r="C768" s="268" t="s">
        <v>145</v>
      </c>
      <c r="D768" s="268" t="s">
        <v>81</v>
      </c>
      <c r="E768" s="268" t="s">
        <v>374</v>
      </c>
      <c r="F768" s="487"/>
      <c r="G768" s="337">
        <f t="shared" si="69"/>
        <v>1222.2800000000002</v>
      </c>
      <c r="H768" s="337">
        <f t="shared" si="69"/>
        <v>1207.6036999999999</v>
      </c>
      <c r="I768" s="337">
        <f t="shared" si="62"/>
        <v>98.799268580030741</v>
      </c>
    </row>
    <row r="769" spans="1:10" ht="35.450000000000003" customHeight="1" x14ac:dyDescent="0.25">
      <c r="A769" s="19" t="s">
        <v>149</v>
      </c>
      <c r="B769" s="482">
        <v>906</v>
      </c>
      <c r="C769" s="268" t="s">
        <v>145</v>
      </c>
      <c r="D769" s="268" t="s">
        <v>81</v>
      </c>
      <c r="E769" s="268" t="s">
        <v>374</v>
      </c>
      <c r="F769" s="487" t="s">
        <v>150</v>
      </c>
      <c r="G769" s="337">
        <f t="shared" si="69"/>
        <v>1222.2800000000002</v>
      </c>
      <c r="H769" s="337">
        <f t="shared" si="69"/>
        <v>1207.6036999999999</v>
      </c>
      <c r="I769" s="337">
        <f t="shared" si="62"/>
        <v>98.799268580030741</v>
      </c>
    </row>
    <row r="770" spans="1:10" ht="27" customHeight="1" x14ac:dyDescent="0.25">
      <c r="A770" s="68" t="s">
        <v>151</v>
      </c>
      <c r="B770" s="482">
        <v>906</v>
      </c>
      <c r="C770" s="268" t="s">
        <v>145</v>
      </c>
      <c r="D770" s="268" t="s">
        <v>81</v>
      </c>
      <c r="E770" s="268" t="s">
        <v>374</v>
      </c>
      <c r="F770" s="487" t="s">
        <v>152</v>
      </c>
      <c r="G770" s="337">
        <f>594+115.4+45+55.1-45-52.4+173.83+336.35</f>
        <v>1222.2800000000002</v>
      </c>
      <c r="H770" s="337">
        <v>1207.6036999999999</v>
      </c>
      <c r="I770" s="337">
        <f t="shared" si="62"/>
        <v>98.799268580030741</v>
      </c>
      <c r="J770" s="311"/>
    </row>
    <row r="771" spans="1:10" ht="15.75" x14ac:dyDescent="0.25">
      <c r="A771" s="116" t="s">
        <v>190</v>
      </c>
      <c r="B771" s="432">
        <v>906</v>
      </c>
      <c r="C771" s="481" t="s">
        <v>145</v>
      </c>
      <c r="D771" s="481" t="s">
        <v>119</v>
      </c>
      <c r="E771" s="481"/>
      <c r="F771" s="481"/>
      <c r="G771" s="338">
        <f>G772+G834+G839</f>
        <v>222508.52911000003</v>
      </c>
      <c r="H771" s="338">
        <f>H772+H834+H839</f>
        <v>220021.69289000001</v>
      </c>
      <c r="I771" s="338">
        <f t="shared" si="62"/>
        <v>98.882363642442385</v>
      </c>
    </row>
    <row r="772" spans="1:10" ht="36.75" customHeight="1" x14ac:dyDescent="0.25">
      <c r="A772" s="116" t="s">
        <v>904</v>
      </c>
      <c r="B772" s="432">
        <v>906</v>
      </c>
      <c r="C772" s="481" t="s">
        <v>145</v>
      </c>
      <c r="D772" s="481" t="s">
        <v>119</v>
      </c>
      <c r="E772" s="481" t="s">
        <v>189</v>
      </c>
      <c r="F772" s="481"/>
      <c r="G772" s="338">
        <f>G773+G780+G787+G803+G810+G814+G818+G822+G826+G830</f>
        <v>220782.09011000002</v>
      </c>
      <c r="H772" s="338">
        <f>H773+H780+H787+H803+H810+H814+H818+H822+H826+H830</f>
        <v>218327.00439000002</v>
      </c>
      <c r="I772" s="338">
        <f t="shared" si="62"/>
        <v>98.888005037556809</v>
      </c>
      <c r="J772" s="287"/>
    </row>
    <row r="773" spans="1:10" ht="37.5" customHeight="1" x14ac:dyDescent="0.25">
      <c r="A773" s="116" t="s">
        <v>375</v>
      </c>
      <c r="B773" s="432">
        <v>906</v>
      </c>
      <c r="C773" s="481" t="s">
        <v>145</v>
      </c>
      <c r="D773" s="481" t="s">
        <v>119</v>
      </c>
      <c r="E773" s="481" t="s">
        <v>582</v>
      </c>
      <c r="F773" s="481"/>
      <c r="G773" s="338">
        <f>G774+G777</f>
        <v>33421.540710000001</v>
      </c>
      <c r="H773" s="338">
        <f>H774+H777</f>
        <v>31949.75333</v>
      </c>
      <c r="I773" s="338">
        <f t="shared" si="62"/>
        <v>95.59629104842665</v>
      </c>
    </row>
    <row r="774" spans="1:10" ht="31.5" x14ac:dyDescent="0.25">
      <c r="A774" s="335" t="s">
        <v>585</v>
      </c>
      <c r="B774" s="482">
        <v>906</v>
      </c>
      <c r="C774" s="268" t="s">
        <v>145</v>
      </c>
      <c r="D774" s="268" t="s">
        <v>119</v>
      </c>
      <c r="E774" s="268" t="s">
        <v>594</v>
      </c>
      <c r="F774" s="268"/>
      <c r="G774" s="337">
        <f t="shared" ref="G774:H775" si="70">G775</f>
        <v>33024.180209999999</v>
      </c>
      <c r="H774" s="337">
        <f t="shared" si="70"/>
        <v>31552.392830000001</v>
      </c>
      <c r="I774" s="337">
        <f t="shared" si="62"/>
        <v>95.543303813627062</v>
      </c>
    </row>
    <row r="775" spans="1:10" ht="32.25" customHeight="1" x14ac:dyDescent="0.25">
      <c r="A775" s="335" t="s">
        <v>149</v>
      </c>
      <c r="B775" s="482">
        <v>906</v>
      </c>
      <c r="C775" s="268" t="s">
        <v>145</v>
      </c>
      <c r="D775" s="268" t="s">
        <v>119</v>
      </c>
      <c r="E775" s="268" t="s">
        <v>594</v>
      </c>
      <c r="F775" s="268" t="s">
        <v>150</v>
      </c>
      <c r="G775" s="337">
        <f t="shared" si="70"/>
        <v>33024.180209999999</v>
      </c>
      <c r="H775" s="337">
        <f t="shared" si="70"/>
        <v>31552.392830000001</v>
      </c>
      <c r="I775" s="337">
        <f t="shared" si="62"/>
        <v>95.543303813627062</v>
      </c>
    </row>
    <row r="776" spans="1:10" ht="15.75" x14ac:dyDescent="0.25">
      <c r="A776" s="335" t="s">
        <v>151</v>
      </c>
      <c r="B776" s="482">
        <v>906</v>
      </c>
      <c r="C776" s="268" t="s">
        <v>145</v>
      </c>
      <c r="D776" s="268" t="s">
        <v>119</v>
      </c>
      <c r="E776" s="268" t="s">
        <v>594</v>
      </c>
      <c r="F776" s="268" t="s">
        <v>152</v>
      </c>
      <c r="G776" s="271">
        <f>31663+18.8+805.798+420.18221-2.6+119</f>
        <v>33024.180209999999</v>
      </c>
      <c r="H776" s="271">
        <v>31552.392830000001</v>
      </c>
      <c r="I776" s="337">
        <f t="shared" si="62"/>
        <v>95.543303813627062</v>
      </c>
    </row>
    <row r="777" spans="1:10" ht="47.25" x14ac:dyDescent="0.25">
      <c r="A777" s="335" t="s">
        <v>1107</v>
      </c>
      <c r="B777" s="482">
        <v>906</v>
      </c>
      <c r="C777" s="268" t="s">
        <v>145</v>
      </c>
      <c r="D777" s="268" t="s">
        <v>119</v>
      </c>
      <c r="E777" s="268" t="s">
        <v>1116</v>
      </c>
      <c r="F777" s="268"/>
      <c r="G777" s="271">
        <f>G778</f>
        <v>397.3605</v>
      </c>
      <c r="H777" s="271">
        <f>H778</f>
        <v>397.3605</v>
      </c>
      <c r="I777" s="337">
        <f t="shared" si="62"/>
        <v>100</v>
      </c>
      <c r="J777" s="333"/>
    </row>
    <row r="778" spans="1:10" ht="31.5" x14ac:dyDescent="0.25">
      <c r="A778" s="335" t="s">
        <v>149</v>
      </c>
      <c r="B778" s="482">
        <v>906</v>
      </c>
      <c r="C778" s="268" t="s">
        <v>145</v>
      </c>
      <c r="D778" s="268" t="s">
        <v>119</v>
      </c>
      <c r="E778" s="268" t="s">
        <v>1116</v>
      </c>
      <c r="F778" s="268" t="s">
        <v>150</v>
      </c>
      <c r="G778" s="271">
        <f>G779</f>
        <v>397.3605</v>
      </c>
      <c r="H778" s="271">
        <f>H779</f>
        <v>397.3605</v>
      </c>
      <c r="I778" s="337">
        <f t="shared" si="62"/>
        <v>100</v>
      </c>
      <c r="J778" s="333"/>
    </row>
    <row r="779" spans="1:10" ht="15.75" x14ac:dyDescent="0.25">
      <c r="A779" s="335" t="s">
        <v>151</v>
      </c>
      <c r="B779" s="482">
        <v>906</v>
      </c>
      <c r="C779" s="268" t="s">
        <v>145</v>
      </c>
      <c r="D779" s="268" t="s">
        <v>119</v>
      </c>
      <c r="E779" s="268" t="s">
        <v>1116</v>
      </c>
      <c r="F779" s="268" t="s">
        <v>152</v>
      </c>
      <c r="G779" s="271">
        <f>397.3605</f>
        <v>397.3605</v>
      </c>
      <c r="H779" s="271">
        <v>397.3605</v>
      </c>
      <c r="I779" s="337">
        <f t="shared" si="62"/>
        <v>100</v>
      </c>
    </row>
    <row r="780" spans="1:10" ht="48" customHeight="1" x14ac:dyDescent="0.25">
      <c r="A780" s="116" t="s">
        <v>349</v>
      </c>
      <c r="B780" s="432">
        <v>906</v>
      </c>
      <c r="C780" s="481" t="s">
        <v>145</v>
      </c>
      <c r="D780" s="481" t="s">
        <v>119</v>
      </c>
      <c r="E780" s="481" t="s">
        <v>584</v>
      </c>
      <c r="F780" s="481"/>
      <c r="G780" s="273">
        <f>G781+G784</f>
        <v>169371.364</v>
      </c>
      <c r="H780" s="273">
        <f>H781+H784</f>
        <v>169005.22295999998</v>
      </c>
      <c r="I780" s="338">
        <f t="shared" ref="I780:I843" si="71">H780/G780*100</f>
        <v>99.78382352757103</v>
      </c>
    </row>
    <row r="781" spans="1:10" ht="50.25" customHeight="1" x14ac:dyDescent="0.25">
      <c r="A781" s="335" t="s">
        <v>647</v>
      </c>
      <c r="B781" s="482">
        <v>906</v>
      </c>
      <c r="C781" s="268" t="s">
        <v>145</v>
      </c>
      <c r="D781" s="268" t="s">
        <v>119</v>
      </c>
      <c r="E781" s="268" t="s">
        <v>648</v>
      </c>
      <c r="F781" s="268"/>
      <c r="G781" s="271">
        <f>G782</f>
        <v>6521.7000000000007</v>
      </c>
      <c r="H781" s="271">
        <f>H782</f>
        <v>6455.8775900000001</v>
      </c>
      <c r="I781" s="337">
        <f t="shared" si="71"/>
        <v>98.990716990968593</v>
      </c>
    </row>
    <row r="782" spans="1:10" ht="36.75" customHeight="1" x14ac:dyDescent="0.25">
      <c r="A782" s="335" t="s">
        <v>149</v>
      </c>
      <c r="B782" s="482">
        <v>906</v>
      </c>
      <c r="C782" s="268" t="s">
        <v>145</v>
      </c>
      <c r="D782" s="268" t="s">
        <v>119</v>
      </c>
      <c r="E782" s="268" t="s">
        <v>648</v>
      </c>
      <c r="F782" s="268" t="s">
        <v>150</v>
      </c>
      <c r="G782" s="271">
        <f>G783</f>
        <v>6521.7000000000007</v>
      </c>
      <c r="H782" s="271">
        <f>H783</f>
        <v>6455.8775900000001</v>
      </c>
      <c r="I782" s="337">
        <f t="shared" si="71"/>
        <v>98.990716990968593</v>
      </c>
    </row>
    <row r="783" spans="1:10" ht="19.7" customHeight="1" x14ac:dyDescent="0.25">
      <c r="A783" s="335" t="s">
        <v>151</v>
      </c>
      <c r="B783" s="482">
        <v>906</v>
      </c>
      <c r="C783" s="268" t="s">
        <v>145</v>
      </c>
      <c r="D783" s="268" t="s">
        <v>119</v>
      </c>
      <c r="E783" s="268" t="s">
        <v>648</v>
      </c>
      <c r="F783" s="268" t="s">
        <v>152</v>
      </c>
      <c r="G783" s="271">
        <f>7226.1-704.4</f>
        <v>6521.7000000000007</v>
      </c>
      <c r="H783" s="271">
        <v>6455.8775900000001</v>
      </c>
      <c r="I783" s="337">
        <f t="shared" si="71"/>
        <v>98.990716990968593</v>
      </c>
    </row>
    <row r="784" spans="1:10" ht="47.25" x14ac:dyDescent="0.25">
      <c r="A784" s="335" t="s">
        <v>852</v>
      </c>
      <c r="B784" s="482">
        <v>906</v>
      </c>
      <c r="C784" s="268" t="s">
        <v>145</v>
      </c>
      <c r="D784" s="268" t="s">
        <v>119</v>
      </c>
      <c r="E784" s="268" t="s">
        <v>763</v>
      </c>
      <c r="F784" s="268"/>
      <c r="G784" s="271">
        <f>G785</f>
        <v>162849.66399999999</v>
      </c>
      <c r="H784" s="271">
        <f>H785</f>
        <v>162549.34537</v>
      </c>
      <c r="I784" s="337">
        <f t="shared" si="71"/>
        <v>99.81558535484605</v>
      </c>
    </row>
    <row r="785" spans="1:10" ht="31.5" x14ac:dyDescent="0.25">
      <c r="A785" s="335" t="s">
        <v>149</v>
      </c>
      <c r="B785" s="482">
        <v>906</v>
      </c>
      <c r="C785" s="268" t="s">
        <v>145</v>
      </c>
      <c r="D785" s="268" t="s">
        <v>119</v>
      </c>
      <c r="E785" s="268" t="s">
        <v>763</v>
      </c>
      <c r="F785" s="268" t="s">
        <v>150</v>
      </c>
      <c r="G785" s="271">
        <f>G786</f>
        <v>162849.66399999999</v>
      </c>
      <c r="H785" s="271">
        <f>H786</f>
        <v>162549.34537</v>
      </c>
      <c r="I785" s="337">
        <f t="shared" si="71"/>
        <v>99.81558535484605</v>
      </c>
    </row>
    <row r="786" spans="1:10" ht="34.5" customHeight="1" x14ac:dyDescent="0.25">
      <c r="A786" s="335" t="s">
        <v>151</v>
      </c>
      <c r="B786" s="482">
        <v>906</v>
      </c>
      <c r="C786" s="268" t="s">
        <v>145</v>
      </c>
      <c r="D786" s="268" t="s">
        <v>119</v>
      </c>
      <c r="E786" s="268" t="s">
        <v>763</v>
      </c>
      <c r="F786" s="268" t="s">
        <v>152</v>
      </c>
      <c r="G786" s="271">
        <f>5220+909.3+165226.5+3151.4-1453+1646+1500-1307-300-500-2350.09-700-130-100-70-386+8158+2000-8158-2000+10158-10158-189.8-25.3-7.7-118.6-16.6+192.4-32.1-55.1-60.8+215.3-13.7+112+272.43-248.8-3779.4-946.35+506.4+915.4+857.999+506.5+270.06+259.161+366.4+619.8+186.1+214.3+714.921+2367.288-427.571+342.528+1134.2-1415.8+281.6+85.043-5824.5-2863.25-557.3+178.016-54.118-658.916+53.761-863.348</f>
        <v>162849.66399999999</v>
      </c>
      <c r="H786" s="271">
        <v>162549.34537</v>
      </c>
      <c r="I786" s="337">
        <f t="shared" si="71"/>
        <v>99.81558535484605</v>
      </c>
    </row>
    <row r="787" spans="1:10" ht="35.450000000000003" customHeight="1" x14ac:dyDescent="0.25">
      <c r="A787" s="116" t="s">
        <v>595</v>
      </c>
      <c r="B787" s="492">
        <v>906</v>
      </c>
      <c r="C787" s="481" t="s">
        <v>145</v>
      </c>
      <c r="D787" s="481" t="s">
        <v>119</v>
      </c>
      <c r="E787" s="481" t="s">
        <v>586</v>
      </c>
      <c r="F787" s="481"/>
      <c r="G787" s="338">
        <f>G788+G791+G794+G797+G800</f>
        <v>2235.4479999999999</v>
      </c>
      <c r="H787" s="338">
        <f>H788+H791+H794+H797+H800</f>
        <v>1860.0084700000002</v>
      </c>
      <c r="I787" s="338">
        <f t="shared" si="71"/>
        <v>83.205177217273686</v>
      </c>
    </row>
    <row r="788" spans="1:10" ht="35.450000000000003" hidden="1" customHeight="1" x14ac:dyDescent="0.25">
      <c r="A788" s="335" t="s">
        <v>192</v>
      </c>
      <c r="B788" s="493">
        <v>906</v>
      </c>
      <c r="C788" s="268" t="s">
        <v>145</v>
      </c>
      <c r="D788" s="268" t="s">
        <v>119</v>
      </c>
      <c r="E788" s="268" t="s">
        <v>630</v>
      </c>
      <c r="F788" s="268"/>
      <c r="G788" s="337">
        <f>G789</f>
        <v>0</v>
      </c>
      <c r="H788" s="337">
        <f>H789</f>
        <v>0</v>
      </c>
      <c r="I788" s="337" t="e">
        <f t="shared" si="71"/>
        <v>#DIV/0!</v>
      </c>
    </row>
    <row r="789" spans="1:10" ht="39.75" hidden="1" customHeight="1" x14ac:dyDescent="0.25">
      <c r="A789" s="335" t="s">
        <v>149</v>
      </c>
      <c r="B789" s="493">
        <v>906</v>
      </c>
      <c r="C789" s="268" t="s">
        <v>145</v>
      </c>
      <c r="D789" s="268" t="s">
        <v>119</v>
      </c>
      <c r="E789" s="268" t="s">
        <v>630</v>
      </c>
      <c r="F789" s="268" t="s">
        <v>150</v>
      </c>
      <c r="G789" s="337">
        <f>G790</f>
        <v>0</v>
      </c>
      <c r="H789" s="337">
        <f>H790</f>
        <v>0</v>
      </c>
      <c r="I789" s="337" t="e">
        <f t="shared" si="71"/>
        <v>#DIV/0!</v>
      </c>
    </row>
    <row r="790" spans="1:10" ht="18.75" hidden="1" customHeight="1" x14ac:dyDescent="0.25">
      <c r="A790" s="335" t="s">
        <v>151</v>
      </c>
      <c r="B790" s="493">
        <v>906</v>
      </c>
      <c r="C790" s="268" t="s">
        <v>145</v>
      </c>
      <c r="D790" s="268" t="s">
        <v>119</v>
      </c>
      <c r="E790" s="268" t="s">
        <v>630</v>
      </c>
      <c r="F790" s="268" t="s">
        <v>152</v>
      </c>
      <c r="G790" s="337">
        <v>0</v>
      </c>
      <c r="H790" s="337">
        <v>0</v>
      </c>
      <c r="I790" s="337" t="e">
        <f t="shared" si="71"/>
        <v>#DIV/0!</v>
      </c>
    </row>
    <row r="791" spans="1:10" ht="41.25" customHeight="1" x14ac:dyDescent="0.25">
      <c r="A791" s="335" t="s">
        <v>153</v>
      </c>
      <c r="B791" s="493">
        <v>906</v>
      </c>
      <c r="C791" s="268" t="s">
        <v>145</v>
      </c>
      <c r="D791" s="268" t="s">
        <v>119</v>
      </c>
      <c r="E791" s="268" t="s">
        <v>631</v>
      </c>
      <c r="F791" s="268"/>
      <c r="G791" s="337">
        <f>G792</f>
        <v>2002.9699999999998</v>
      </c>
      <c r="H791" s="337">
        <f>H792</f>
        <v>1657.63067</v>
      </c>
      <c r="I791" s="337">
        <f t="shared" si="71"/>
        <v>82.758636924167618</v>
      </c>
    </row>
    <row r="792" spans="1:10" ht="33" customHeight="1" x14ac:dyDescent="0.25">
      <c r="A792" s="335" t="s">
        <v>149</v>
      </c>
      <c r="B792" s="493">
        <v>906</v>
      </c>
      <c r="C792" s="268" t="s">
        <v>145</v>
      </c>
      <c r="D792" s="268" t="s">
        <v>119</v>
      </c>
      <c r="E792" s="268" t="s">
        <v>631</v>
      </c>
      <c r="F792" s="268" t="s">
        <v>150</v>
      </c>
      <c r="G792" s="337">
        <f>G793</f>
        <v>2002.9699999999998</v>
      </c>
      <c r="H792" s="337">
        <f>H793</f>
        <v>1657.63067</v>
      </c>
      <c r="I792" s="337">
        <f t="shared" si="71"/>
        <v>82.758636924167618</v>
      </c>
    </row>
    <row r="793" spans="1:10" ht="18.75" customHeight="1" x14ac:dyDescent="0.25">
      <c r="A793" s="335" t="s">
        <v>151</v>
      </c>
      <c r="B793" s="493">
        <v>906</v>
      </c>
      <c r="C793" s="268" t="s">
        <v>145</v>
      </c>
      <c r="D793" s="268" t="s">
        <v>119</v>
      </c>
      <c r="E793" s="268" t="s">
        <v>631</v>
      </c>
      <c r="F793" s="268" t="s">
        <v>152</v>
      </c>
      <c r="G793" s="337">
        <f>900+1562.24+365.88-139-936.15+150+150-50</f>
        <v>2002.9699999999998</v>
      </c>
      <c r="H793" s="337">
        <v>1657.63067</v>
      </c>
      <c r="I793" s="337">
        <f t="shared" si="71"/>
        <v>82.758636924167618</v>
      </c>
      <c r="J793" s="341"/>
    </row>
    <row r="794" spans="1:10" ht="31.7" hidden="1" customHeight="1" x14ac:dyDescent="0.25">
      <c r="A794" s="335" t="s">
        <v>855</v>
      </c>
      <c r="B794" s="493">
        <v>906</v>
      </c>
      <c r="C794" s="268" t="s">
        <v>145</v>
      </c>
      <c r="D794" s="268" t="s">
        <v>119</v>
      </c>
      <c r="E794" s="268" t="s">
        <v>632</v>
      </c>
      <c r="F794" s="268"/>
      <c r="G794" s="337">
        <f>G795</f>
        <v>0</v>
      </c>
      <c r="H794" s="337">
        <f>H795</f>
        <v>0</v>
      </c>
      <c r="I794" s="337" t="e">
        <f t="shared" si="71"/>
        <v>#DIV/0!</v>
      </c>
    </row>
    <row r="795" spans="1:10" ht="29.25" hidden="1" customHeight="1" x14ac:dyDescent="0.25">
      <c r="A795" s="335" t="s">
        <v>149</v>
      </c>
      <c r="B795" s="493">
        <v>906</v>
      </c>
      <c r="C795" s="268" t="s">
        <v>145</v>
      </c>
      <c r="D795" s="268" t="s">
        <v>119</v>
      </c>
      <c r="E795" s="268" t="s">
        <v>632</v>
      </c>
      <c r="F795" s="268" t="s">
        <v>150</v>
      </c>
      <c r="G795" s="337">
        <f>G796</f>
        <v>0</v>
      </c>
      <c r="H795" s="337">
        <f>H796</f>
        <v>0</v>
      </c>
      <c r="I795" s="337" t="e">
        <f t="shared" si="71"/>
        <v>#DIV/0!</v>
      </c>
    </row>
    <row r="796" spans="1:10" ht="18.75" hidden="1" customHeight="1" x14ac:dyDescent="0.25">
      <c r="A796" s="335" t="s">
        <v>151</v>
      </c>
      <c r="B796" s="493">
        <v>906</v>
      </c>
      <c r="C796" s="268" t="s">
        <v>145</v>
      </c>
      <c r="D796" s="268" t="s">
        <v>119</v>
      </c>
      <c r="E796" s="268" t="s">
        <v>632</v>
      </c>
      <c r="F796" s="268" t="s">
        <v>152</v>
      </c>
      <c r="G796" s="337"/>
      <c r="H796" s="337"/>
      <c r="I796" s="337" t="e">
        <f t="shared" si="71"/>
        <v>#DIV/0!</v>
      </c>
    </row>
    <row r="797" spans="1:10" ht="36" customHeight="1" x14ac:dyDescent="0.25">
      <c r="A797" s="335" t="s">
        <v>154</v>
      </c>
      <c r="B797" s="493">
        <v>906</v>
      </c>
      <c r="C797" s="268" t="s">
        <v>145</v>
      </c>
      <c r="D797" s="268" t="s">
        <v>119</v>
      </c>
      <c r="E797" s="268" t="s">
        <v>596</v>
      </c>
      <c r="F797" s="268"/>
      <c r="G797" s="337">
        <f>G798</f>
        <v>165.49999999999997</v>
      </c>
      <c r="H797" s="337">
        <f>H798</f>
        <v>135.4</v>
      </c>
      <c r="I797" s="337">
        <f t="shared" si="71"/>
        <v>81.812688821752289</v>
      </c>
    </row>
    <row r="798" spans="1:10" ht="39.75" customHeight="1" x14ac:dyDescent="0.25">
      <c r="A798" s="335" t="s">
        <v>149</v>
      </c>
      <c r="B798" s="493">
        <v>906</v>
      </c>
      <c r="C798" s="268" t="s">
        <v>145</v>
      </c>
      <c r="D798" s="268" t="s">
        <v>119</v>
      </c>
      <c r="E798" s="268" t="s">
        <v>596</v>
      </c>
      <c r="F798" s="268" t="s">
        <v>150</v>
      </c>
      <c r="G798" s="337">
        <f>G799</f>
        <v>165.49999999999997</v>
      </c>
      <c r="H798" s="337">
        <f>H799</f>
        <v>135.4</v>
      </c>
      <c r="I798" s="337">
        <f t="shared" si="71"/>
        <v>81.812688821752289</v>
      </c>
    </row>
    <row r="799" spans="1:10" ht="18.75" customHeight="1" x14ac:dyDescent="0.25">
      <c r="A799" s="335" t="s">
        <v>151</v>
      </c>
      <c r="B799" s="493">
        <v>906</v>
      </c>
      <c r="C799" s="268" t="s">
        <v>145</v>
      </c>
      <c r="D799" s="268" t="s">
        <v>119</v>
      </c>
      <c r="E799" s="268" t="s">
        <v>596</v>
      </c>
      <c r="F799" s="268" t="s">
        <v>152</v>
      </c>
      <c r="G799" s="337">
        <f>194.7-31.8+2.6</f>
        <v>165.49999999999997</v>
      </c>
      <c r="H799" s="337">
        <v>135.4</v>
      </c>
      <c r="I799" s="337">
        <f t="shared" si="71"/>
        <v>81.812688821752289</v>
      </c>
    </row>
    <row r="800" spans="1:10" ht="48" customHeight="1" x14ac:dyDescent="0.25">
      <c r="A800" s="310" t="s">
        <v>1090</v>
      </c>
      <c r="B800" s="493">
        <v>906</v>
      </c>
      <c r="C800" s="268" t="s">
        <v>145</v>
      </c>
      <c r="D800" s="268" t="s">
        <v>119</v>
      </c>
      <c r="E800" s="268" t="s">
        <v>1091</v>
      </c>
      <c r="F800" s="268"/>
      <c r="G800" s="337">
        <f t="shared" ref="G800:H801" si="72">G801</f>
        <v>66.977999999999994</v>
      </c>
      <c r="H800" s="337">
        <f t="shared" si="72"/>
        <v>66.977800000000002</v>
      </c>
      <c r="I800" s="337">
        <f t="shared" si="71"/>
        <v>99.999701394487744</v>
      </c>
    </row>
    <row r="801" spans="1:10" ht="36.6" customHeight="1" x14ac:dyDescent="0.25">
      <c r="A801" s="335" t="s">
        <v>149</v>
      </c>
      <c r="B801" s="493">
        <v>906</v>
      </c>
      <c r="C801" s="268" t="s">
        <v>145</v>
      </c>
      <c r="D801" s="268" t="s">
        <v>119</v>
      </c>
      <c r="E801" s="268" t="s">
        <v>1091</v>
      </c>
      <c r="F801" s="268" t="s">
        <v>150</v>
      </c>
      <c r="G801" s="337">
        <f t="shared" si="72"/>
        <v>66.977999999999994</v>
      </c>
      <c r="H801" s="337">
        <f t="shared" si="72"/>
        <v>66.977800000000002</v>
      </c>
      <c r="I801" s="337">
        <f t="shared" si="71"/>
        <v>99.999701394487744</v>
      </c>
    </row>
    <row r="802" spans="1:10" ht="18.75" customHeight="1" x14ac:dyDescent="0.25">
      <c r="A802" s="335" t="s">
        <v>151</v>
      </c>
      <c r="B802" s="493">
        <v>906</v>
      </c>
      <c r="C802" s="268" t="s">
        <v>145</v>
      </c>
      <c r="D802" s="268" t="s">
        <v>119</v>
      </c>
      <c r="E802" s="268" t="s">
        <v>1091</v>
      </c>
      <c r="F802" s="268" t="s">
        <v>152</v>
      </c>
      <c r="G802" s="337">
        <v>66.977999999999994</v>
      </c>
      <c r="H802" s="337">
        <v>66.977800000000002</v>
      </c>
      <c r="I802" s="337">
        <f t="shared" si="71"/>
        <v>99.999701394487744</v>
      </c>
    </row>
    <row r="803" spans="1:10" ht="34.5" customHeight="1" x14ac:dyDescent="0.25">
      <c r="A803" s="80" t="s">
        <v>381</v>
      </c>
      <c r="B803" s="432">
        <v>906</v>
      </c>
      <c r="C803" s="481" t="s">
        <v>145</v>
      </c>
      <c r="D803" s="481" t="s">
        <v>119</v>
      </c>
      <c r="E803" s="481" t="s">
        <v>589</v>
      </c>
      <c r="F803" s="481"/>
      <c r="G803" s="273">
        <f>G804+G807</f>
        <v>3599</v>
      </c>
      <c r="H803" s="273">
        <f>H804+H807</f>
        <v>3413.6575699999999</v>
      </c>
      <c r="I803" s="338">
        <f t="shared" si="71"/>
        <v>94.850168657960538</v>
      </c>
    </row>
    <row r="804" spans="1:10" ht="36.75" hidden="1" customHeight="1" x14ac:dyDescent="0.25">
      <c r="A804" s="335" t="s">
        <v>276</v>
      </c>
      <c r="B804" s="482">
        <v>906</v>
      </c>
      <c r="C804" s="268" t="s">
        <v>145</v>
      </c>
      <c r="D804" s="268" t="s">
        <v>119</v>
      </c>
      <c r="E804" s="268" t="s">
        <v>597</v>
      </c>
      <c r="F804" s="268"/>
      <c r="G804" s="337">
        <f>G805</f>
        <v>0</v>
      </c>
      <c r="H804" s="337">
        <f>H805</f>
        <v>0</v>
      </c>
      <c r="I804" s="337" t="e">
        <f t="shared" si="71"/>
        <v>#DIV/0!</v>
      </c>
    </row>
    <row r="805" spans="1:10" ht="44.45" hidden="1" customHeight="1" x14ac:dyDescent="0.25">
      <c r="A805" s="335" t="s">
        <v>149</v>
      </c>
      <c r="B805" s="482">
        <v>906</v>
      </c>
      <c r="C805" s="268" t="s">
        <v>145</v>
      </c>
      <c r="D805" s="268" t="s">
        <v>119</v>
      </c>
      <c r="E805" s="268" t="s">
        <v>597</v>
      </c>
      <c r="F805" s="268" t="s">
        <v>150</v>
      </c>
      <c r="G805" s="337">
        <f>G806</f>
        <v>0</v>
      </c>
      <c r="H805" s="337">
        <f>H806</f>
        <v>0</v>
      </c>
      <c r="I805" s="337" t="e">
        <f t="shared" si="71"/>
        <v>#DIV/0!</v>
      </c>
    </row>
    <row r="806" spans="1:10" ht="28.5" hidden="1" customHeight="1" x14ac:dyDescent="0.25">
      <c r="A806" s="335" t="s">
        <v>151</v>
      </c>
      <c r="B806" s="482">
        <v>906</v>
      </c>
      <c r="C806" s="268" t="s">
        <v>145</v>
      </c>
      <c r="D806" s="268" t="s">
        <v>119</v>
      </c>
      <c r="E806" s="268" t="s">
        <v>597</v>
      </c>
      <c r="F806" s="268" t="s">
        <v>152</v>
      </c>
      <c r="G806" s="337">
        <f>167.68-167.68+66.978-66.978</f>
        <v>0</v>
      </c>
      <c r="H806" s="337">
        <f>167.68-167.68+66.978-66.978</f>
        <v>0</v>
      </c>
      <c r="I806" s="337" t="e">
        <f t="shared" si="71"/>
        <v>#DIV/0!</v>
      </c>
      <c r="J806" s="341"/>
    </row>
    <row r="807" spans="1:10" ht="38.25" customHeight="1" x14ac:dyDescent="0.25">
      <c r="A807" s="32" t="s">
        <v>261</v>
      </c>
      <c r="B807" s="482">
        <v>906</v>
      </c>
      <c r="C807" s="268" t="s">
        <v>145</v>
      </c>
      <c r="D807" s="268" t="s">
        <v>119</v>
      </c>
      <c r="E807" s="268" t="s">
        <v>590</v>
      </c>
      <c r="F807" s="268"/>
      <c r="G807" s="337">
        <f>G808</f>
        <v>3599</v>
      </c>
      <c r="H807" s="337">
        <f>H808</f>
        <v>3413.6575699999999</v>
      </c>
      <c r="I807" s="337">
        <f t="shared" si="71"/>
        <v>94.850168657960538</v>
      </c>
    </row>
    <row r="808" spans="1:10" ht="39.200000000000003" customHeight="1" x14ac:dyDescent="0.25">
      <c r="A808" s="19" t="s">
        <v>149</v>
      </c>
      <c r="B808" s="482">
        <v>906</v>
      </c>
      <c r="C808" s="268" t="s">
        <v>145</v>
      </c>
      <c r="D808" s="268" t="s">
        <v>119</v>
      </c>
      <c r="E808" s="268" t="s">
        <v>590</v>
      </c>
      <c r="F808" s="268" t="s">
        <v>150</v>
      </c>
      <c r="G808" s="337">
        <f>G809</f>
        <v>3599</v>
      </c>
      <c r="H808" s="337">
        <f>H809</f>
        <v>3413.6575699999999</v>
      </c>
      <c r="I808" s="337">
        <f t="shared" si="71"/>
        <v>94.850168657960538</v>
      </c>
    </row>
    <row r="809" spans="1:10" s="321" customFormat="1" ht="18.75" customHeight="1" x14ac:dyDescent="0.25">
      <c r="A809" s="68" t="s">
        <v>151</v>
      </c>
      <c r="B809" s="482">
        <v>906</v>
      </c>
      <c r="C809" s="268" t="s">
        <v>145</v>
      </c>
      <c r="D809" s="268" t="s">
        <v>119</v>
      </c>
      <c r="E809" s="268" t="s">
        <v>590</v>
      </c>
      <c r="F809" s="268" t="s">
        <v>152</v>
      </c>
      <c r="G809" s="337">
        <f>3397+139+182-119</f>
        <v>3599</v>
      </c>
      <c r="H809" s="337">
        <v>3413.6575699999999</v>
      </c>
      <c r="I809" s="337">
        <f t="shared" si="71"/>
        <v>94.850168657960538</v>
      </c>
      <c r="J809" s="341"/>
    </row>
    <row r="810" spans="1:10" ht="33" customHeight="1" x14ac:dyDescent="0.25">
      <c r="A810" s="116" t="s">
        <v>737</v>
      </c>
      <c r="B810" s="492">
        <v>906</v>
      </c>
      <c r="C810" s="481" t="s">
        <v>145</v>
      </c>
      <c r="D810" s="481" t="s">
        <v>119</v>
      </c>
      <c r="E810" s="481" t="s">
        <v>592</v>
      </c>
      <c r="F810" s="481"/>
      <c r="G810" s="338">
        <f t="shared" ref="G810:H812" si="73">G811</f>
        <v>5130.4143999999997</v>
      </c>
      <c r="H810" s="338">
        <f t="shared" si="73"/>
        <v>5130.4143999999997</v>
      </c>
      <c r="I810" s="338">
        <f t="shared" si="71"/>
        <v>100</v>
      </c>
    </row>
    <row r="811" spans="1:10" ht="31.5" x14ac:dyDescent="0.25">
      <c r="A811" s="335" t="s">
        <v>738</v>
      </c>
      <c r="B811" s="493">
        <v>906</v>
      </c>
      <c r="C811" s="268" t="s">
        <v>145</v>
      </c>
      <c r="D811" s="268" t="s">
        <v>119</v>
      </c>
      <c r="E811" s="268" t="s">
        <v>739</v>
      </c>
      <c r="F811" s="268"/>
      <c r="G811" s="337">
        <f t="shared" si="73"/>
        <v>5130.4143999999997</v>
      </c>
      <c r="H811" s="337">
        <f t="shared" si="73"/>
        <v>5130.4143999999997</v>
      </c>
      <c r="I811" s="337">
        <f t="shared" si="71"/>
        <v>100</v>
      </c>
    </row>
    <row r="812" spans="1:10" ht="31.5" x14ac:dyDescent="0.25">
      <c r="A812" s="335" t="s">
        <v>149</v>
      </c>
      <c r="B812" s="493">
        <v>906</v>
      </c>
      <c r="C812" s="268" t="s">
        <v>145</v>
      </c>
      <c r="D812" s="268" t="s">
        <v>119</v>
      </c>
      <c r="E812" s="268" t="s">
        <v>739</v>
      </c>
      <c r="F812" s="268" t="s">
        <v>150</v>
      </c>
      <c r="G812" s="337">
        <f t="shared" si="73"/>
        <v>5130.4143999999997</v>
      </c>
      <c r="H812" s="337">
        <f t="shared" si="73"/>
        <v>5130.4143999999997</v>
      </c>
      <c r="I812" s="337">
        <f t="shared" si="71"/>
        <v>100</v>
      </c>
    </row>
    <row r="813" spans="1:10" ht="23.25" customHeight="1" x14ac:dyDescent="0.25">
      <c r="A813" s="335" t="s">
        <v>151</v>
      </c>
      <c r="B813" s="493">
        <v>906</v>
      </c>
      <c r="C813" s="268" t="s">
        <v>145</v>
      </c>
      <c r="D813" s="268" t="s">
        <v>119</v>
      </c>
      <c r="E813" s="268" t="s">
        <v>739</v>
      </c>
      <c r="F813" s="268" t="s">
        <v>152</v>
      </c>
      <c r="G813" s="271">
        <f>5868.9617-200-600-73.933+135.3857</f>
        <v>5130.4143999999997</v>
      </c>
      <c r="H813" s="271">
        <v>5130.4143999999997</v>
      </c>
      <c r="I813" s="337">
        <f t="shared" si="71"/>
        <v>100</v>
      </c>
      <c r="J813" s="341"/>
    </row>
    <row r="814" spans="1:10" ht="31.5" x14ac:dyDescent="0.25">
      <c r="A814" s="95" t="s">
        <v>650</v>
      </c>
      <c r="B814" s="432">
        <v>906</v>
      </c>
      <c r="C814" s="481" t="s">
        <v>145</v>
      </c>
      <c r="D814" s="481" t="s">
        <v>119</v>
      </c>
      <c r="E814" s="481" t="s">
        <v>993</v>
      </c>
      <c r="F814" s="481"/>
      <c r="G814" s="338">
        <f t="shared" ref="G814:H816" si="74">G815</f>
        <v>5213.21</v>
      </c>
      <c r="H814" s="338">
        <f t="shared" si="74"/>
        <v>5213.1999800000003</v>
      </c>
      <c r="I814" s="338">
        <f t="shared" si="71"/>
        <v>99.999807795964486</v>
      </c>
    </row>
    <row r="815" spans="1:10" ht="63" x14ac:dyDescent="0.25">
      <c r="A815" s="94" t="s">
        <v>646</v>
      </c>
      <c r="B815" s="482">
        <v>906</v>
      </c>
      <c r="C815" s="268" t="s">
        <v>145</v>
      </c>
      <c r="D815" s="268" t="s">
        <v>119</v>
      </c>
      <c r="E815" s="268" t="s">
        <v>994</v>
      </c>
      <c r="F815" s="268"/>
      <c r="G815" s="337">
        <f t="shared" si="74"/>
        <v>5213.21</v>
      </c>
      <c r="H815" s="337">
        <f t="shared" si="74"/>
        <v>5213.1999800000003</v>
      </c>
      <c r="I815" s="337">
        <f t="shared" si="71"/>
        <v>99.999807795964486</v>
      </c>
    </row>
    <row r="816" spans="1:10" ht="31.5" x14ac:dyDescent="0.25">
      <c r="A816" s="20" t="s">
        <v>149</v>
      </c>
      <c r="B816" s="482">
        <v>906</v>
      </c>
      <c r="C816" s="268" t="s">
        <v>145</v>
      </c>
      <c r="D816" s="268" t="s">
        <v>119</v>
      </c>
      <c r="E816" s="268" t="s">
        <v>994</v>
      </c>
      <c r="F816" s="268" t="s">
        <v>150</v>
      </c>
      <c r="G816" s="337">
        <f t="shared" si="74"/>
        <v>5213.21</v>
      </c>
      <c r="H816" s="337">
        <f t="shared" si="74"/>
        <v>5213.1999800000003</v>
      </c>
      <c r="I816" s="337">
        <f t="shared" si="71"/>
        <v>99.999807795964486</v>
      </c>
    </row>
    <row r="817" spans="1:10" ht="15.75" x14ac:dyDescent="0.25">
      <c r="A817" s="20" t="s">
        <v>151</v>
      </c>
      <c r="B817" s="482">
        <v>906</v>
      </c>
      <c r="C817" s="268" t="s">
        <v>145</v>
      </c>
      <c r="D817" s="268" t="s">
        <v>119</v>
      </c>
      <c r="E817" s="268" t="s">
        <v>994</v>
      </c>
      <c r="F817" s="268" t="s">
        <v>152</v>
      </c>
      <c r="G817" s="337">
        <f>5302.7957-89.5957+89.5957-89.5857</f>
        <v>5213.21</v>
      </c>
      <c r="H817" s="337">
        <v>5213.1999800000003</v>
      </c>
      <c r="I817" s="337">
        <f t="shared" si="71"/>
        <v>99.999807795964486</v>
      </c>
    </row>
    <row r="818" spans="1:10" ht="36" hidden="1" customHeight="1" x14ac:dyDescent="0.25">
      <c r="A818" s="315" t="s">
        <v>551</v>
      </c>
      <c r="B818" s="432">
        <v>906</v>
      </c>
      <c r="C818" s="481" t="s">
        <v>145</v>
      </c>
      <c r="D818" s="481" t="s">
        <v>119</v>
      </c>
      <c r="E818" s="481" t="s">
        <v>633</v>
      </c>
      <c r="F818" s="481"/>
      <c r="G818" s="338">
        <f t="shared" ref="G818:H820" si="75">G819</f>
        <v>0</v>
      </c>
      <c r="H818" s="338">
        <f t="shared" si="75"/>
        <v>0</v>
      </c>
      <c r="I818" s="337" t="e">
        <f t="shared" si="71"/>
        <v>#DIV/0!</v>
      </c>
      <c r="J818" s="288"/>
    </row>
    <row r="819" spans="1:10" ht="63" hidden="1" x14ac:dyDescent="0.25">
      <c r="A819" s="68" t="s">
        <v>676</v>
      </c>
      <c r="B819" s="482">
        <v>906</v>
      </c>
      <c r="C819" s="268" t="s">
        <v>145</v>
      </c>
      <c r="D819" s="268" t="s">
        <v>119</v>
      </c>
      <c r="E819" s="268" t="s">
        <v>634</v>
      </c>
      <c r="F819" s="268"/>
      <c r="G819" s="337">
        <f t="shared" si="75"/>
        <v>0</v>
      </c>
      <c r="H819" s="337">
        <f t="shared" si="75"/>
        <v>0</v>
      </c>
      <c r="I819" s="337" t="e">
        <f t="shared" si="71"/>
        <v>#DIV/0!</v>
      </c>
    </row>
    <row r="820" spans="1:10" ht="31.5" hidden="1" x14ac:dyDescent="0.25">
      <c r="A820" s="20" t="s">
        <v>149</v>
      </c>
      <c r="B820" s="482">
        <v>906</v>
      </c>
      <c r="C820" s="268" t="s">
        <v>145</v>
      </c>
      <c r="D820" s="268" t="s">
        <v>119</v>
      </c>
      <c r="E820" s="268" t="s">
        <v>634</v>
      </c>
      <c r="F820" s="268" t="s">
        <v>150</v>
      </c>
      <c r="G820" s="337">
        <f t="shared" si="75"/>
        <v>0</v>
      </c>
      <c r="H820" s="337">
        <f t="shared" si="75"/>
        <v>0</v>
      </c>
      <c r="I820" s="337" t="e">
        <f t="shared" si="71"/>
        <v>#DIV/0!</v>
      </c>
    </row>
    <row r="821" spans="1:10" ht="15.75" hidden="1" x14ac:dyDescent="0.25">
      <c r="A821" s="20" t="s">
        <v>151</v>
      </c>
      <c r="B821" s="482">
        <v>906</v>
      </c>
      <c r="C821" s="268" t="s">
        <v>145</v>
      </c>
      <c r="D821" s="268" t="s">
        <v>119</v>
      </c>
      <c r="E821" s="268" t="s">
        <v>634</v>
      </c>
      <c r="F821" s="268" t="s">
        <v>152</v>
      </c>
      <c r="G821" s="337"/>
      <c r="H821" s="337"/>
      <c r="I821" s="337" t="e">
        <f t="shared" si="71"/>
        <v>#DIV/0!</v>
      </c>
    </row>
    <row r="822" spans="1:10" ht="31.5" hidden="1" x14ac:dyDescent="0.25">
      <c r="A822" s="22" t="s">
        <v>663</v>
      </c>
      <c r="B822" s="432">
        <v>906</v>
      </c>
      <c r="C822" s="481" t="s">
        <v>145</v>
      </c>
      <c r="D822" s="481" t="s">
        <v>119</v>
      </c>
      <c r="E822" s="481" t="s">
        <v>664</v>
      </c>
      <c r="F822" s="268"/>
      <c r="G822" s="338">
        <f t="shared" ref="G822:H824" si="76">G823</f>
        <v>0</v>
      </c>
      <c r="H822" s="338">
        <f t="shared" si="76"/>
        <v>0</v>
      </c>
      <c r="I822" s="337" t="e">
        <f t="shared" si="71"/>
        <v>#DIV/0!</v>
      </c>
    </row>
    <row r="823" spans="1:10" ht="56.25" hidden="1" customHeight="1" x14ac:dyDescent="0.25">
      <c r="A823" s="20" t="s">
        <v>677</v>
      </c>
      <c r="B823" s="482">
        <v>906</v>
      </c>
      <c r="C823" s="268" t="s">
        <v>145</v>
      </c>
      <c r="D823" s="268" t="s">
        <v>119</v>
      </c>
      <c r="E823" s="268" t="s">
        <v>665</v>
      </c>
      <c r="F823" s="268"/>
      <c r="G823" s="337">
        <f t="shared" si="76"/>
        <v>0</v>
      </c>
      <c r="H823" s="337">
        <f t="shared" si="76"/>
        <v>0</v>
      </c>
      <c r="I823" s="337" t="e">
        <f t="shared" si="71"/>
        <v>#DIV/0!</v>
      </c>
    </row>
    <row r="824" spans="1:10" ht="31.5" hidden="1" x14ac:dyDescent="0.25">
      <c r="A824" s="20" t="s">
        <v>149</v>
      </c>
      <c r="B824" s="482">
        <v>906</v>
      </c>
      <c r="C824" s="268" t="s">
        <v>145</v>
      </c>
      <c r="D824" s="268" t="s">
        <v>119</v>
      </c>
      <c r="E824" s="268" t="s">
        <v>665</v>
      </c>
      <c r="F824" s="268" t="s">
        <v>150</v>
      </c>
      <c r="G824" s="337">
        <f t="shared" si="76"/>
        <v>0</v>
      </c>
      <c r="H824" s="337">
        <f t="shared" si="76"/>
        <v>0</v>
      </c>
      <c r="I824" s="337" t="e">
        <f t="shared" si="71"/>
        <v>#DIV/0!</v>
      </c>
    </row>
    <row r="825" spans="1:10" ht="15.75" hidden="1" x14ac:dyDescent="0.25">
      <c r="A825" s="20" t="s">
        <v>151</v>
      </c>
      <c r="B825" s="482">
        <v>906</v>
      </c>
      <c r="C825" s="268" t="s">
        <v>145</v>
      </c>
      <c r="D825" s="268" t="s">
        <v>119</v>
      </c>
      <c r="E825" s="268" t="s">
        <v>665</v>
      </c>
      <c r="F825" s="268" t="s">
        <v>152</v>
      </c>
      <c r="G825" s="337"/>
      <c r="H825" s="337"/>
      <c r="I825" s="337" t="e">
        <f t="shared" si="71"/>
        <v>#DIV/0!</v>
      </c>
    </row>
    <row r="826" spans="1:10" ht="31.5" x14ac:dyDescent="0.25">
      <c r="A826" s="22" t="s">
        <v>667</v>
      </c>
      <c r="B826" s="432">
        <v>906</v>
      </c>
      <c r="C826" s="481" t="s">
        <v>145</v>
      </c>
      <c r="D826" s="481" t="s">
        <v>119</v>
      </c>
      <c r="E826" s="481" t="s">
        <v>666</v>
      </c>
      <c r="F826" s="481"/>
      <c r="G826" s="337">
        <f t="shared" ref="G826:H828" si="77">G827</f>
        <v>1679.51</v>
      </c>
      <c r="H826" s="337">
        <f t="shared" si="77"/>
        <v>1623.2393199999999</v>
      </c>
      <c r="I826" s="337">
        <f t="shared" si="71"/>
        <v>96.649577555358405</v>
      </c>
    </row>
    <row r="827" spans="1:10" ht="63" x14ac:dyDescent="0.25">
      <c r="A827" s="20" t="s">
        <v>1016</v>
      </c>
      <c r="B827" s="482">
        <v>906</v>
      </c>
      <c r="C827" s="268" t="s">
        <v>145</v>
      </c>
      <c r="D827" s="268" t="s">
        <v>119</v>
      </c>
      <c r="E827" s="268" t="s">
        <v>1015</v>
      </c>
      <c r="F827" s="268"/>
      <c r="G827" s="337">
        <f t="shared" si="77"/>
        <v>1679.51</v>
      </c>
      <c r="H827" s="337">
        <f t="shared" si="77"/>
        <v>1623.2393199999999</v>
      </c>
      <c r="I827" s="337">
        <f t="shared" si="71"/>
        <v>96.649577555358405</v>
      </c>
    </row>
    <row r="828" spans="1:10" ht="31.5" x14ac:dyDescent="0.25">
      <c r="A828" s="20" t="s">
        <v>149</v>
      </c>
      <c r="B828" s="482">
        <v>906</v>
      </c>
      <c r="C828" s="268" t="s">
        <v>145</v>
      </c>
      <c r="D828" s="268" t="s">
        <v>119</v>
      </c>
      <c r="E828" s="268" t="s">
        <v>1015</v>
      </c>
      <c r="F828" s="268" t="s">
        <v>150</v>
      </c>
      <c r="G828" s="337">
        <f t="shared" si="77"/>
        <v>1679.51</v>
      </c>
      <c r="H828" s="337">
        <f t="shared" si="77"/>
        <v>1623.2393199999999</v>
      </c>
      <c r="I828" s="337">
        <f t="shared" si="71"/>
        <v>96.649577555358405</v>
      </c>
    </row>
    <row r="829" spans="1:10" ht="28.5" customHeight="1" x14ac:dyDescent="0.25">
      <c r="A829" s="20" t="s">
        <v>151</v>
      </c>
      <c r="B829" s="482">
        <v>906</v>
      </c>
      <c r="C829" s="268" t="s">
        <v>145</v>
      </c>
      <c r="D829" s="268" t="s">
        <v>119</v>
      </c>
      <c r="E829" s="268" t="s">
        <v>1015</v>
      </c>
      <c r="F829" s="268" t="s">
        <v>152</v>
      </c>
      <c r="G829" s="337">
        <f>2709.8-45.8-984.49</f>
        <v>1679.51</v>
      </c>
      <c r="H829" s="337">
        <v>1623.2393199999999</v>
      </c>
      <c r="I829" s="337">
        <f t="shared" si="71"/>
        <v>96.649577555358405</v>
      </c>
    </row>
    <row r="830" spans="1:10" ht="63" x14ac:dyDescent="0.25">
      <c r="A830" s="22" t="s">
        <v>1052</v>
      </c>
      <c r="B830" s="432">
        <v>906</v>
      </c>
      <c r="C830" s="481" t="s">
        <v>145</v>
      </c>
      <c r="D830" s="481" t="s">
        <v>119</v>
      </c>
      <c r="E830" s="481" t="s">
        <v>1050</v>
      </c>
      <c r="F830" s="481"/>
      <c r="G830" s="338">
        <f t="shared" ref="G830:H832" si="78">G831</f>
        <v>131.60299999999998</v>
      </c>
      <c r="H830" s="338">
        <f t="shared" si="78"/>
        <v>131.50836000000001</v>
      </c>
      <c r="I830" s="338">
        <f t="shared" si="71"/>
        <v>99.928086745742903</v>
      </c>
    </row>
    <row r="831" spans="1:10" ht="63" x14ac:dyDescent="0.25">
      <c r="A831" s="335" t="s">
        <v>1017</v>
      </c>
      <c r="B831" s="482">
        <v>906</v>
      </c>
      <c r="C831" s="268" t="s">
        <v>145</v>
      </c>
      <c r="D831" s="268" t="s">
        <v>119</v>
      </c>
      <c r="E831" s="268" t="s">
        <v>1051</v>
      </c>
      <c r="F831" s="268"/>
      <c r="G831" s="271">
        <f t="shared" si="78"/>
        <v>131.60299999999998</v>
      </c>
      <c r="H831" s="271">
        <f t="shared" si="78"/>
        <v>131.50836000000001</v>
      </c>
      <c r="I831" s="337">
        <f t="shared" si="71"/>
        <v>99.928086745742903</v>
      </c>
    </row>
    <row r="832" spans="1:10" ht="31.5" x14ac:dyDescent="0.25">
      <c r="A832" s="335" t="s">
        <v>149</v>
      </c>
      <c r="B832" s="482">
        <v>906</v>
      </c>
      <c r="C832" s="268" t="s">
        <v>145</v>
      </c>
      <c r="D832" s="268" t="s">
        <v>119</v>
      </c>
      <c r="E832" s="268" t="s">
        <v>1051</v>
      </c>
      <c r="F832" s="268" t="s">
        <v>150</v>
      </c>
      <c r="G832" s="271">
        <f t="shared" si="78"/>
        <v>131.60299999999998</v>
      </c>
      <c r="H832" s="271">
        <f t="shared" si="78"/>
        <v>131.50836000000001</v>
      </c>
      <c r="I832" s="337">
        <f t="shared" si="71"/>
        <v>99.928086745742903</v>
      </c>
    </row>
    <row r="833" spans="1:10" ht="15.75" x14ac:dyDescent="0.25">
      <c r="A833" s="335" t="s">
        <v>151</v>
      </c>
      <c r="B833" s="482">
        <v>906</v>
      </c>
      <c r="C833" s="268" t="s">
        <v>145</v>
      </c>
      <c r="D833" s="268" t="s">
        <v>119</v>
      </c>
      <c r="E833" s="268" t="s">
        <v>1051</v>
      </c>
      <c r="F833" s="268" t="s">
        <v>152</v>
      </c>
      <c r="G833" s="271">
        <f>263.205-131.602</f>
        <v>131.60299999999998</v>
      </c>
      <c r="H833" s="271">
        <v>131.50836000000001</v>
      </c>
      <c r="I833" s="337">
        <f t="shared" si="71"/>
        <v>99.928086745742903</v>
      </c>
    </row>
    <row r="834" spans="1:10" ht="47.25" x14ac:dyDescent="0.25">
      <c r="A834" s="22" t="s">
        <v>894</v>
      </c>
      <c r="B834" s="432">
        <v>906</v>
      </c>
      <c r="C834" s="481" t="s">
        <v>145</v>
      </c>
      <c r="D834" s="481" t="s">
        <v>119</v>
      </c>
      <c r="E834" s="481" t="s">
        <v>162</v>
      </c>
      <c r="F834" s="481"/>
      <c r="G834" s="338">
        <f>G835</f>
        <v>40</v>
      </c>
      <c r="H834" s="338">
        <f>H835</f>
        <v>40</v>
      </c>
      <c r="I834" s="338">
        <f t="shared" si="71"/>
        <v>100</v>
      </c>
    </row>
    <row r="835" spans="1:10" ht="47.25" x14ac:dyDescent="0.25">
      <c r="A835" s="22" t="s">
        <v>451</v>
      </c>
      <c r="B835" s="432">
        <v>906</v>
      </c>
      <c r="C835" s="481" t="s">
        <v>145</v>
      </c>
      <c r="D835" s="481" t="s">
        <v>119</v>
      </c>
      <c r="E835" s="481" t="s">
        <v>372</v>
      </c>
      <c r="F835" s="481"/>
      <c r="G835" s="338">
        <f t="shared" ref="G835:H837" si="79">G836</f>
        <v>40</v>
      </c>
      <c r="H835" s="338">
        <f t="shared" si="79"/>
        <v>40</v>
      </c>
      <c r="I835" s="338">
        <f t="shared" si="71"/>
        <v>100</v>
      </c>
    </row>
    <row r="836" spans="1:10" ht="47.25" x14ac:dyDescent="0.25">
      <c r="A836" s="20" t="s">
        <v>494</v>
      </c>
      <c r="B836" s="482">
        <v>906</v>
      </c>
      <c r="C836" s="268" t="s">
        <v>145</v>
      </c>
      <c r="D836" s="268" t="s">
        <v>119</v>
      </c>
      <c r="E836" s="268" t="s">
        <v>373</v>
      </c>
      <c r="F836" s="268"/>
      <c r="G836" s="337">
        <f t="shared" si="79"/>
        <v>40</v>
      </c>
      <c r="H836" s="337">
        <f t="shared" si="79"/>
        <v>40</v>
      </c>
      <c r="I836" s="337">
        <f t="shared" si="71"/>
        <v>100</v>
      </c>
    </row>
    <row r="837" spans="1:10" ht="31.5" x14ac:dyDescent="0.25">
      <c r="A837" s="20" t="s">
        <v>149</v>
      </c>
      <c r="B837" s="482">
        <v>906</v>
      </c>
      <c r="C837" s="268" t="s">
        <v>145</v>
      </c>
      <c r="D837" s="268" t="s">
        <v>119</v>
      </c>
      <c r="E837" s="268" t="s">
        <v>373</v>
      </c>
      <c r="F837" s="268" t="s">
        <v>150</v>
      </c>
      <c r="G837" s="337">
        <f t="shared" si="79"/>
        <v>40</v>
      </c>
      <c r="H837" s="337">
        <f t="shared" si="79"/>
        <v>40</v>
      </c>
      <c r="I837" s="337">
        <f t="shared" si="71"/>
        <v>100</v>
      </c>
    </row>
    <row r="838" spans="1:10" ht="15.75" x14ac:dyDescent="0.25">
      <c r="A838" s="20" t="s">
        <v>151</v>
      </c>
      <c r="B838" s="482">
        <v>906</v>
      </c>
      <c r="C838" s="268" t="s">
        <v>145</v>
      </c>
      <c r="D838" s="268" t="s">
        <v>119</v>
      </c>
      <c r="E838" s="268" t="s">
        <v>373</v>
      </c>
      <c r="F838" s="268" t="s">
        <v>152</v>
      </c>
      <c r="G838" s="337">
        <v>40</v>
      </c>
      <c r="H838" s="337">
        <v>40</v>
      </c>
      <c r="I838" s="337">
        <f t="shared" si="71"/>
        <v>100</v>
      </c>
    </row>
    <row r="839" spans="1:10" ht="47.25" x14ac:dyDescent="0.25">
      <c r="A839" s="130" t="s">
        <v>853</v>
      </c>
      <c r="B839" s="432">
        <v>906</v>
      </c>
      <c r="C839" s="481" t="s">
        <v>145</v>
      </c>
      <c r="D839" s="481" t="s">
        <v>119</v>
      </c>
      <c r="E839" s="481" t="s">
        <v>259</v>
      </c>
      <c r="F839" s="486"/>
      <c r="G839" s="338">
        <f t="shared" ref="G839:H842" si="80">G840</f>
        <v>1686.4390000000001</v>
      </c>
      <c r="H839" s="338">
        <f t="shared" si="80"/>
        <v>1654.6885</v>
      </c>
      <c r="I839" s="338">
        <f t="shared" si="71"/>
        <v>98.117305161941815</v>
      </c>
    </row>
    <row r="840" spans="1:10" ht="47.25" x14ac:dyDescent="0.25">
      <c r="A840" s="130" t="s">
        <v>341</v>
      </c>
      <c r="B840" s="432">
        <v>906</v>
      </c>
      <c r="C840" s="481" t="s">
        <v>145</v>
      </c>
      <c r="D840" s="481" t="s">
        <v>119</v>
      </c>
      <c r="E840" s="481" t="s">
        <v>339</v>
      </c>
      <c r="F840" s="486"/>
      <c r="G840" s="338">
        <f t="shared" si="80"/>
        <v>1686.4390000000001</v>
      </c>
      <c r="H840" s="338">
        <f t="shared" si="80"/>
        <v>1654.6885</v>
      </c>
      <c r="I840" s="338">
        <f t="shared" si="71"/>
        <v>98.117305161941815</v>
      </c>
    </row>
    <row r="841" spans="1:10" ht="51" customHeight="1" x14ac:dyDescent="0.25">
      <c r="A841" s="26" t="s">
        <v>274</v>
      </c>
      <c r="B841" s="482">
        <v>906</v>
      </c>
      <c r="C841" s="268" t="s">
        <v>145</v>
      </c>
      <c r="D841" s="268" t="s">
        <v>119</v>
      </c>
      <c r="E841" s="268" t="s">
        <v>374</v>
      </c>
      <c r="F841" s="487"/>
      <c r="G841" s="337">
        <f t="shared" si="80"/>
        <v>1686.4390000000001</v>
      </c>
      <c r="H841" s="337">
        <f t="shared" si="80"/>
        <v>1654.6885</v>
      </c>
      <c r="I841" s="337">
        <f t="shared" si="71"/>
        <v>98.117305161941815</v>
      </c>
    </row>
    <row r="842" spans="1:10" ht="39.75" customHeight="1" x14ac:dyDescent="0.25">
      <c r="A842" s="19" t="s">
        <v>149</v>
      </c>
      <c r="B842" s="482">
        <v>906</v>
      </c>
      <c r="C842" s="268" t="s">
        <v>145</v>
      </c>
      <c r="D842" s="268" t="s">
        <v>119</v>
      </c>
      <c r="E842" s="268" t="s">
        <v>374</v>
      </c>
      <c r="F842" s="487" t="s">
        <v>150</v>
      </c>
      <c r="G842" s="337">
        <f t="shared" si="80"/>
        <v>1686.4390000000001</v>
      </c>
      <c r="H842" s="337">
        <f t="shared" si="80"/>
        <v>1654.6885</v>
      </c>
      <c r="I842" s="337">
        <f t="shared" si="71"/>
        <v>98.117305161941815</v>
      </c>
    </row>
    <row r="843" spans="1:10" ht="23.25" customHeight="1" x14ac:dyDescent="0.25">
      <c r="A843" s="68" t="s">
        <v>151</v>
      </c>
      <c r="B843" s="482">
        <v>906</v>
      </c>
      <c r="C843" s="268" t="s">
        <v>145</v>
      </c>
      <c r="D843" s="268" t="s">
        <v>119</v>
      </c>
      <c r="E843" s="268" t="s">
        <v>374</v>
      </c>
      <c r="F843" s="487" t="s">
        <v>152</v>
      </c>
      <c r="G843" s="337">
        <f>867.84+73.933+90-9.334+283.01+229.57+151.42</f>
        <v>1686.4390000000001</v>
      </c>
      <c r="H843" s="337">
        <v>1654.6885</v>
      </c>
      <c r="I843" s="337">
        <f t="shared" si="71"/>
        <v>98.117305161941815</v>
      </c>
      <c r="J843" s="341"/>
    </row>
    <row r="844" spans="1:10" ht="15.75" x14ac:dyDescent="0.25">
      <c r="A844" s="116" t="s">
        <v>146</v>
      </c>
      <c r="B844" s="432">
        <v>906</v>
      </c>
      <c r="C844" s="481" t="s">
        <v>145</v>
      </c>
      <c r="D844" s="481" t="s">
        <v>120</v>
      </c>
      <c r="E844" s="481"/>
      <c r="F844" s="481"/>
      <c r="G844" s="273">
        <f>G845+G872</f>
        <v>40333.015109999986</v>
      </c>
      <c r="H844" s="273">
        <f>H845+H872</f>
        <v>40222.070350000002</v>
      </c>
      <c r="I844" s="338">
        <f t="shared" ref="I844:I907" si="81">H844/G844*100</f>
        <v>99.724928176836258</v>
      </c>
    </row>
    <row r="845" spans="1:10" ht="36.75" customHeight="1" x14ac:dyDescent="0.25">
      <c r="A845" s="116" t="s">
        <v>885</v>
      </c>
      <c r="B845" s="432">
        <v>906</v>
      </c>
      <c r="C845" s="481" t="s">
        <v>145</v>
      </c>
      <c r="D845" s="481" t="s">
        <v>120</v>
      </c>
      <c r="E845" s="481" t="s">
        <v>189</v>
      </c>
      <c r="F845" s="481"/>
      <c r="G845" s="273">
        <f>G846+G853+G861+G868</f>
        <v>39763.095109999987</v>
      </c>
      <c r="H845" s="273">
        <f>H846+H853+H861+H868</f>
        <v>39652.278389999999</v>
      </c>
      <c r="I845" s="338">
        <f t="shared" si="81"/>
        <v>99.7213076102516</v>
      </c>
    </row>
    <row r="846" spans="1:10" ht="36.75" customHeight="1" x14ac:dyDescent="0.25">
      <c r="A846" s="116" t="s">
        <v>375</v>
      </c>
      <c r="B846" s="432">
        <v>906</v>
      </c>
      <c r="C846" s="481" t="s">
        <v>145</v>
      </c>
      <c r="D846" s="481" t="s">
        <v>120</v>
      </c>
      <c r="E846" s="481" t="s">
        <v>582</v>
      </c>
      <c r="F846" s="481"/>
      <c r="G846" s="273">
        <f>G847+G850</f>
        <v>36955.231999999989</v>
      </c>
      <c r="H846" s="273">
        <f>H847+H850</f>
        <v>36878.463380000001</v>
      </c>
      <c r="I846" s="338">
        <f t="shared" si="81"/>
        <v>99.792265896206558</v>
      </c>
    </row>
    <row r="847" spans="1:10" ht="31.5" x14ac:dyDescent="0.25">
      <c r="A847" s="335" t="s">
        <v>148</v>
      </c>
      <c r="B847" s="482">
        <v>906</v>
      </c>
      <c r="C847" s="268" t="s">
        <v>145</v>
      </c>
      <c r="D847" s="268" t="s">
        <v>120</v>
      </c>
      <c r="E847" s="268" t="s">
        <v>598</v>
      </c>
      <c r="F847" s="268"/>
      <c r="G847" s="271">
        <f>G848</f>
        <v>36739.671999999991</v>
      </c>
      <c r="H847" s="271">
        <f>H848</f>
        <v>36662.903380000003</v>
      </c>
      <c r="I847" s="337">
        <f t="shared" si="81"/>
        <v>99.791047073038683</v>
      </c>
    </row>
    <row r="848" spans="1:10" ht="36.75" customHeight="1" x14ac:dyDescent="0.25">
      <c r="A848" s="335" t="s">
        <v>149</v>
      </c>
      <c r="B848" s="482">
        <v>906</v>
      </c>
      <c r="C848" s="268" t="s">
        <v>145</v>
      </c>
      <c r="D848" s="268" t="s">
        <v>120</v>
      </c>
      <c r="E848" s="268" t="s">
        <v>598</v>
      </c>
      <c r="F848" s="268" t="s">
        <v>150</v>
      </c>
      <c r="G848" s="271">
        <f>G849</f>
        <v>36739.671999999991</v>
      </c>
      <c r="H848" s="271">
        <f>H849</f>
        <v>36662.903380000003</v>
      </c>
      <c r="I848" s="337">
        <f t="shared" si="81"/>
        <v>99.791047073038683</v>
      </c>
    </row>
    <row r="849" spans="1:10" ht="22.5" customHeight="1" x14ac:dyDescent="0.25">
      <c r="A849" s="335" t="s">
        <v>151</v>
      </c>
      <c r="B849" s="482">
        <v>906</v>
      </c>
      <c r="C849" s="268" t="s">
        <v>145</v>
      </c>
      <c r="D849" s="268" t="s">
        <v>120</v>
      </c>
      <c r="E849" s="268" t="s">
        <v>598</v>
      </c>
      <c r="F849" s="268" t="s">
        <v>152</v>
      </c>
      <c r="G849" s="271">
        <f>35744.18-16.14-6+45+5+11.6+35+57.422+21.11+62.2+155+562.5+5.1+35.6+22.1</f>
        <v>36739.671999999991</v>
      </c>
      <c r="H849" s="271">
        <v>36662.903380000003</v>
      </c>
      <c r="I849" s="337">
        <f t="shared" si="81"/>
        <v>99.791047073038683</v>
      </c>
    </row>
    <row r="850" spans="1:10" ht="31.5" x14ac:dyDescent="0.25">
      <c r="A850" s="335" t="s">
        <v>1118</v>
      </c>
      <c r="B850" s="482">
        <v>906</v>
      </c>
      <c r="C850" s="268" t="s">
        <v>145</v>
      </c>
      <c r="D850" s="268" t="s">
        <v>120</v>
      </c>
      <c r="E850" s="268" t="s">
        <v>1121</v>
      </c>
      <c r="F850" s="268"/>
      <c r="G850" s="271">
        <f>G851</f>
        <v>215.56</v>
      </c>
      <c r="H850" s="271">
        <f>H851</f>
        <v>215.56</v>
      </c>
      <c r="I850" s="337">
        <f t="shared" si="81"/>
        <v>100</v>
      </c>
      <c r="J850" s="333"/>
    </row>
    <row r="851" spans="1:10" ht="31.5" x14ac:dyDescent="0.25">
      <c r="A851" s="335" t="s">
        <v>149</v>
      </c>
      <c r="B851" s="482">
        <v>906</v>
      </c>
      <c r="C851" s="268" t="s">
        <v>145</v>
      </c>
      <c r="D851" s="268" t="s">
        <v>120</v>
      </c>
      <c r="E851" s="268" t="s">
        <v>1121</v>
      </c>
      <c r="F851" s="268" t="s">
        <v>150</v>
      </c>
      <c r="G851" s="271">
        <f>G852</f>
        <v>215.56</v>
      </c>
      <c r="H851" s="271">
        <f>H852</f>
        <v>215.56</v>
      </c>
      <c r="I851" s="337">
        <f t="shared" si="81"/>
        <v>100</v>
      </c>
      <c r="J851" s="333"/>
    </row>
    <row r="852" spans="1:10" ht="15.75" x14ac:dyDescent="0.25">
      <c r="A852" s="335" t="s">
        <v>151</v>
      </c>
      <c r="B852" s="482">
        <v>906</v>
      </c>
      <c r="C852" s="268" t="s">
        <v>145</v>
      </c>
      <c r="D852" s="268" t="s">
        <v>120</v>
      </c>
      <c r="E852" s="268" t="s">
        <v>1121</v>
      </c>
      <c r="F852" s="268" t="s">
        <v>152</v>
      </c>
      <c r="G852" s="271">
        <f>165.56+50</f>
        <v>215.56</v>
      </c>
      <c r="H852" s="271">
        <v>215.56</v>
      </c>
      <c r="I852" s="337">
        <f t="shared" si="81"/>
        <v>100</v>
      </c>
    </row>
    <row r="853" spans="1:10" ht="33.6" customHeight="1" x14ac:dyDescent="0.25">
      <c r="A853" s="116" t="s">
        <v>349</v>
      </c>
      <c r="B853" s="432">
        <v>906</v>
      </c>
      <c r="C853" s="481" t="s">
        <v>145</v>
      </c>
      <c r="D853" s="481" t="s">
        <v>120</v>
      </c>
      <c r="E853" s="481" t="s">
        <v>584</v>
      </c>
      <c r="F853" s="481"/>
      <c r="G853" s="273">
        <f t="shared" ref="G853:H855" si="82">G854</f>
        <v>1819.9</v>
      </c>
      <c r="H853" s="273">
        <f t="shared" si="82"/>
        <v>1785.90571</v>
      </c>
      <c r="I853" s="338">
        <f t="shared" si="81"/>
        <v>98.132079235122802</v>
      </c>
    </row>
    <row r="854" spans="1:10" ht="47.25" x14ac:dyDescent="0.25">
      <c r="A854" s="335" t="s">
        <v>852</v>
      </c>
      <c r="B854" s="482">
        <v>906</v>
      </c>
      <c r="C854" s="268" t="s">
        <v>145</v>
      </c>
      <c r="D854" s="268" t="s">
        <v>120</v>
      </c>
      <c r="E854" s="268" t="s">
        <v>763</v>
      </c>
      <c r="F854" s="268"/>
      <c r="G854" s="271">
        <f t="shared" si="82"/>
        <v>1819.9</v>
      </c>
      <c r="H854" s="271">
        <f t="shared" si="82"/>
        <v>1785.90571</v>
      </c>
      <c r="I854" s="337">
        <f t="shared" si="81"/>
        <v>98.132079235122802</v>
      </c>
    </row>
    <row r="855" spans="1:10" ht="31.5" x14ac:dyDescent="0.25">
      <c r="A855" s="335" t="s">
        <v>149</v>
      </c>
      <c r="B855" s="482">
        <v>906</v>
      </c>
      <c r="C855" s="268" t="s">
        <v>145</v>
      </c>
      <c r="D855" s="268" t="s">
        <v>120</v>
      </c>
      <c r="E855" s="268" t="s">
        <v>763</v>
      </c>
      <c r="F855" s="268" t="s">
        <v>150</v>
      </c>
      <c r="G855" s="271">
        <f t="shared" si="82"/>
        <v>1819.9</v>
      </c>
      <c r="H855" s="271">
        <f t="shared" si="82"/>
        <v>1785.90571</v>
      </c>
      <c r="I855" s="337">
        <f t="shared" si="81"/>
        <v>98.132079235122802</v>
      </c>
    </row>
    <row r="856" spans="1:10" ht="21.75" customHeight="1" x14ac:dyDescent="0.25">
      <c r="A856" s="335" t="s">
        <v>151</v>
      </c>
      <c r="B856" s="482">
        <v>906</v>
      </c>
      <c r="C856" s="268" t="s">
        <v>145</v>
      </c>
      <c r="D856" s="268" t="s">
        <v>120</v>
      </c>
      <c r="E856" s="268" t="s">
        <v>763</v>
      </c>
      <c r="F856" s="268" t="s">
        <v>152</v>
      </c>
      <c r="G856" s="271">
        <f>1400+719.9-300-126.4-38.6+165</f>
        <v>1819.9</v>
      </c>
      <c r="H856" s="271">
        <v>1785.90571</v>
      </c>
      <c r="I856" s="337">
        <f t="shared" si="81"/>
        <v>98.132079235122802</v>
      </c>
      <c r="J856" s="333"/>
    </row>
    <row r="857" spans="1:10" ht="30.75" hidden="1" customHeight="1" x14ac:dyDescent="0.25">
      <c r="A857" s="116" t="s">
        <v>617</v>
      </c>
      <c r="B857" s="432">
        <v>906</v>
      </c>
      <c r="C857" s="481" t="s">
        <v>145</v>
      </c>
      <c r="D857" s="481" t="s">
        <v>120</v>
      </c>
      <c r="E857" s="481" t="s">
        <v>586</v>
      </c>
      <c r="F857" s="481"/>
      <c r="G857" s="273">
        <f t="shared" ref="G857:H859" si="83">G858</f>
        <v>0</v>
      </c>
      <c r="H857" s="273">
        <f t="shared" si="83"/>
        <v>0</v>
      </c>
      <c r="I857" s="337" t="e">
        <f t="shared" si="81"/>
        <v>#DIV/0!</v>
      </c>
    </row>
    <row r="858" spans="1:10" ht="31.5" hidden="1" x14ac:dyDescent="0.25">
      <c r="A858" s="26" t="s">
        <v>263</v>
      </c>
      <c r="B858" s="482">
        <v>906</v>
      </c>
      <c r="C858" s="268" t="s">
        <v>145</v>
      </c>
      <c r="D858" s="268" t="s">
        <v>120</v>
      </c>
      <c r="E858" s="268" t="s">
        <v>637</v>
      </c>
      <c r="F858" s="268"/>
      <c r="G858" s="271">
        <f t="shared" si="83"/>
        <v>0</v>
      </c>
      <c r="H858" s="271">
        <f t="shared" si="83"/>
        <v>0</v>
      </c>
      <c r="I858" s="337" t="e">
        <f t="shared" si="81"/>
        <v>#DIV/0!</v>
      </c>
    </row>
    <row r="859" spans="1:10" ht="31.5" hidden="1" x14ac:dyDescent="0.25">
      <c r="A859" s="20" t="s">
        <v>149</v>
      </c>
      <c r="B859" s="482">
        <v>906</v>
      </c>
      <c r="C859" s="268" t="s">
        <v>145</v>
      </c>
      <c r="D859" s="268" t="s">
        <v>120</v>
      </c>
      <c r="E859" s="268" t="s">
        <v>637</v>
      </c>
      <c r="F859" s="268" t="s">
        <v>150</v>
      </c>
      <c r="G859" s="271">
        <f t="shared" si="83"/>
        <v>0</v>
      </c>
      <c r="H859" s="271">
        <f t="shared" si="83"/>
        <v>0</v>
      </c>
      <c r="I859" s="337" t="e">
        <f t="shared" si="81"/>
        <v>#DIV/0!</v>
      </c>
    </row>
    <row r="860" spans="1:10" ht="15.75" hidden="1" x14ac:dyDescent="0.25">
      <c r="A860" s="20" t="s">
        <v>151</v>
      </c>
      <c r="B860" s="482">
        <v>906</v>
      </c>
      <c r="C860" s="268" t="s">
        <v>145</v>
      </c>
      <c r="D860" s="268" t="s">
        <v>120</v>
      </c>
      <c r="E860" s="268" t="s">
        <v>637</v>
      </c>
      <c r="F860" s="268" t="s">
        <v>152</v>
      </c>
      <c r="G860" s="271">
        <v>0</v>
      </c>
      <c r="H860" s="271">
        <v>0</v>
      </c>
      <c r="I860" s="337" t="e">
        <f t="shared" si="81"/>
        <v>#DIV/0!</v>
      </c>
    </row>
    <row r="861" spans="1:10" ht="31.5" x14ac:dyDescent="0.25">
      <c r="A861" s="80" t="s">
        <v>381</v>
      </c>
      <c r="B861" s="432">
        <v>906</v>
      </c>
      <c r="C861" s="481" t="s">
        <v>145</v>
      </c>
      <c r="D861" s="481" t="s">
        <v>120</v>
      </c>
      <c r="E861" s="481" t="s">
        <v>589</v>
      </c>
      <c r="F861" s="481"/>
      <c r="G861" s="273">
        <f>G865+G862</f>
        <v>987.96311000000003</v>
      </c>
      <c r="H861" s="273">
        <f>H865+H862</f>
        <v>987.90930000000003</v>
      </c>
      <c r="I861" s="338">
        <f t="shared" si="81"/>
        <v>99.994553440360747</v>
      </c>
    </row>
    <row r="862" spans="1:10" ht="31.5" x14ac:dyDescent="0.25">
      <c r="A862" s="310" t="s">
        <v>276</v>
      </c>
      <c r="B862" s="482">
        <v>906</v>
      </c>
      <c r="C862" s="268" t="s">
        <v>145</v>
      </c>
      <c r="D862" s="268" t="s">
        <v>120</v>
      </c>
      <c r="E862" s="268" t="s">
        <v>597</v>
      </c>
      <c r="F862" s="268"/>
      <c r="G862" s="271">
        <f>G863</f>
        <v>26.5</v>
      </c>
      <c r="H862" s="271">
        <f>H863</f>
        <v>26.5</v>
      </c>
      <c r="I862" s="337">
        <f t="shared" si="81"/>
        <v>100</v>
      </c>
    </row>
    <row r="863" spans="1:10" ht="31.5" x14ac:dyDescent="0.25">
      <c r="A863" s="335" t="s">
        <v>149</v>
      </c>
      <c r="B863" s="482">
        <v>906</v>
      </c>
      <c r="C863" s="268" t="s">
        <v>145</v>
      </c>
      <c r="D863" s="268" t="s">
        <v>120</v>
      </c>
      <c r="E863" s="268" t="s">
        <v>597</v>
      </c>
      <c r="F863" s="268" t="s">
        <v>150</v>
      </c>
      <c r="G863" s="271">
        <f>G864</f>
        <v>26.5</v>
      </c>
      <c r="H863" s="271">
        <f>H864</f>
        <v>26.5</v>
      </c>
      <c r="I863" s="337">
        <f t="shared" si="81"/>
        <v>100</v>
      </c>
    </row>
    <row r="864" spans="1:10" ht="31.5" customHeight="1" x14ac:dyDescent="0.25">
      <c r="A864" s="20" t="s">
        <v>151</v>
      </c>
      <c r="B864" s="482">
        <v>906</v>
      </c>
      <c r="C864" s="268" t="s">
        <v>145</v>
      </c>
      <c r="D864" s="268" t="s">
        <v>120</v>
      </c>
      <c r="E864" s="268" t="s">
        <v>597</v>
      </c>
      <c r="F864" s="268" t="s">
        <v>152</v>
      </c>
      <c r="G864" s="271">
        <v>26.5</v>
      </c>
      <c r="H864" s="271">
        <v>26.5</v>
      </c>
      <c r="I864" s="337">
        <f t="shared" si="81"/>
        <v>100</v>
      </c>
      <c r="J864" s="341"/>
    </row>
    <row r="865" spans="1:10" ht="37.5" customHeight="1" x14ac:dyDescent="0.25">
      <c r="A865" s="26" t="s">
        <v>261</v>
      </c>
      <c r="B865" s="482">
        <v>906</v>
      </c>
      <c r="C865" s="268" t="s">
        <v>145</v>
      </c>
      <c r="D865" s="268" t="s">
        <v>120</v>
      </c>
      <c r="E865" s="268" t="s">
        <v>590</v>
      </c>
      <c r="F865" s="268"/>
      <c r="G865" s="271">
        <f t="shared" ref="G865:H866" si="84">G866</f>
        <v>961.46311000000003</v>
      </c>
      <c r="H865" s="271">
        <f t="shared" si="84"/>
        <v>961.40930000000003</v>
      </c>
      <c r="I865" s="337">
        <f t="shared" si="81"/>
        <v>99.994403321412932</v>
      </c>
    </row>
    <row r="866" spans="1:10" ht="32.25" customHeight="1" x14ac:dyDescent="0.25">
      <c r="A866" s="335" t="s">
        <v>149</v>
      </c>
      <c r="B866" s="482">
        <v>906</v>
      </c>
      <c r="C866" s="268" t="s">
        <v>145</v>
      </c>
      <c r="D866" s="268" t="s">
        <v>120</v>
      </c>
      <c r="E866" s="268" t="s">
        <v>590</v>
      </c>
      <c r="F866" s="268" t="s">
        <v>150</v>
      </c>
      <c r="G866" s="271">
        <f t="shared" si="84"/>
        <v>961.46311000000003</v>
      </c>
      <c r="H866" s="271">
        <f t="shared" si="84"/>
        <v>961.40930000000003</v>
      </c>
      <c r="I866" s="337">
        <f t="shared" si="81"/>
        <v>99.994403321412932</v>
      </c>
    </row>
    <row r="867" spans="1:10" ht="30.75" customHeight="1" x14ac:dyDescent="0.25">
      <c r="A867" s="20" t="s">
        <v>151</v>
      </c>
      <c r="B867" s="482">
        <v>906</v>
      </c>
      <c r="C867" s="268" t="s">
        <v>145</v>
      </c>
      <c r="D867" s="268" t="s">
        <v>120</v>
      </c>
      <c r="E867" s="268" t="s">
        <v>590</v>
      </c>
      <c r="F867" s="268" t="s">
        <v>152</v>
      </c>
      <c r="G867" s="271">
        <f>1204-32.0813-0.13059-45-5-47-11.6-35-59.425+8.8-16.1</f>
        <v>961.46311000000003</v>
      </c>
      <c r="H867" s="271">
        <v>961.40930000000003</v>
      </c>
      <c r="I867" s="337">
        <f t="shared" si="81"/>
        <v>99.994403321412932</v>
      </c>
      <c r="J867" s="341"/>
    </row>
    <row r="868" spans="1:10" ht="47.25" hidden="1" x14ac:dyDescent="0.25">
      <c r="A868" s="22" t="s">
        <v>727</v>
      </c>
      <c r="B868" s="432">
        <v>906</v>
      </c>
      <c r="C868" s="481" t="s">
        <v>145</v>
      </c>
      <c r="D868" s="481" t="s">
        <v>120</v>
      </c>
      <c r="E868" s="481" t="s">
        <v>989</v>
      </c>
      <c r="F868" s="481"/>
      <c r="G868" s="273">
        <f t="shared" ref="G868:H870" si="85">G869</f>
        <v>0</v>
      </c>
      <c r="H868" s="273">
        <f t="shared" si="85"/>
        <v>0</v>
      </c>
      <c r="I868" s="337" t="e">
        <f t="shared" si="81"/>
        <v>#DIV/0!</v>
      </c>
      <c r="J868" s="341"/>
    </row>
    <row r="869" spans="1:10" ht="30.75" hidden="1" customHeight="1" x14ac:dyDescent="0.25">
      <c r="A869" s="20" t="s">
        <v>740</v>
      </c>
      <c r="B869" s="482">
        <v>906</v>
      </c>
      <c r="C869" s="268" t="s">
        <v>145</v>
      </c>
      <c r="D869" s="268" t="s">
        <v>120</v>
      </c>
      <c r="E869" s="268" t="s">
        <v>990</v>
      </c>
      <c r="F869" s="268"/>
      <c r="G869" s="271">
        <f t="shared" si="85"/>
        <v>0</v>
      </c>
      <c r="H869" s="271">
        <f t="shared" si="85"/>
        <v>0</v>
      </c>
      <c r="I869" s="337" t="e">
        <f t="shared" si="81"/>
        <v>#DIV/0!</v>
      </c>
      <c r="J869" s="341"/>
    </row>
    <row r="870" spans="1:10" ht="31.5" hidden="1" x14ac:dyDescent="0.25">
      <c r="A870" s="335" t="s">
        <v>149</v>
      </c>
      <c r="B870" s="482">
        <v>906</v>
      </c>
      <c r="C870" s="268" t="s">
        <v>145</v>
      </c>
      <c r="D870" s="268" t="s">
        <v>120</v>
      </c>
      <c r="E870" s="268" t="s">
        <v>990</v>
      </c>
      <c r="F870" s="268" t="s">
        <v>150</v>
      </c>
      <c r="G870" s="271">
        <f t="shared" si="85"/>
        <v>0</v>
      </c>
      <c r="H870" s="271">
        <f t="shared" si="85"/>
        <v>0</v>
      </c>
      <c r="I870" s="337" t="e">
        <f t="shared" si="81"/>
        <v>#DIV/0!</v>
      </c>
      <c r="J870" s="341"/>
    </row>
    <row r="871" spans="1:10" ht="84" hidden="1" customHeight="1" x14ac:dyDescent="0.25">
      <c r="A871" s="70" t="s">
        <v>1088</v>
      </c>
      <c r="B871" s="482">
        <v>906</v>
      </c>
      <c r="C871" s="268" t="s">
        <v>145</v>
      </c>
      <c r="D871" s="268" t="s">
        <v>120</v>
      </c>
      <c r="E871" s="268" t="s">
        <v>990</v>
      </c>
      <c r="F871" s="268" t="s">
        <v>180</v>
      </c>
      <c r="G871" s="271">
        <f>162.4625-162.4625</f>
        <v>0</v>
      </c>
      <c r="H871" s="271">
        <f>162.4625-162.4625</f>
        <v>0</v>
      </c>
      <c r="I871" s="337" t="e">
        <f t="shared" si="81"/>
        <v>#DIV/0!</v>
      </c>
      <c r="J871" s="341"/>
    </row>
    <row r="872" spans="1:10" ht="54.75" customHeight="1" x14ac:dyDescent="0.25">
      <c r="A872" s="130" t="s">
        <v>853</v>
      </c>
      <c r="B872" s="432">
        <v>906</v>
      </c>
      <c r="C872" s="481" t="s">
        <v>145</v>
      </c>
      <c r="D872" s="481" t="s">
        <v>120</v>
      </c>
      <c r="E872" s="481" t="s">
        <v>259</v>
      </c>
      <c r="F872" s="486"/>
      <c r="G872" s="273">
        <f>G874</f>
        <v>569.91999999999996</v>
      </c>
      <c r="H872" s="273">
        <f>H874</f>
        <v>569.79196000000002</v>
      </c>
      <c r="I872" s="338">
        <f t="shared" si="81"/>
        <v>99.97753368893882</v>
      </c>
    </row>
    <row r="873" spans="1:10" ht="54.75" customHeight="1" x14ac:dyDescent="0.25">
      <c r="A873" s="130" t="s">
        <v>341</v>
      </c>
      <c r="B873" s="432">
        <v>906</v>
      </c>
      <c r="C873" s="481" t="s">
        <v>145</v>
      </c>
      <c r="D873" s="481" t="s">
        <v>376</v>
      </c>
      <c r="E873" s="481" t="s">
        <v>339</v>
      </c>
      <c r="F873" s="486"/>
      <c r="G873" s="273">
        <f t="shared" ref="G873:H875" si="86">G874</f>
        <v>569.91999999999996</v>
      </c>
      <c r="H873" s="273">
        <f t="shared" si="86"/>
        <v>569.79196000000002</v>
      </c>
      <c r="I873" s="338">
        <f t="shared" si="81"/>
        <v>99.97753368893882</v>
      </c>
    </row>
    <row r="874" spans="1:10" ht="61.5" customHeight="1" x14ac:dyDescent="0.25">
      <c r="A874" s="26" t="s">
        <v>274</v>
      </c>
      <c r="B874" s="482">
        <v>906</v>
      </c>
      <c r="C874" s="268" t="s">
        <v>145</v>
      </c>
      <c r="D874" s="268" t="s">
        <v>120</v>
      </c>
      <c r="E874" s="268" t="s">
        <v>374</v>
      </c>
      <c r="F874" s="487"/>
      <c r="G874" s="271">
        <f t="shared" si="86"/>
        <v>569.91999999999996</v>
      </c>
      <c r="H874" s="271">
        <f t="shared" si="86"/>
        <v>569.79196000000002</v>
      </c>
      <c r="I874" s="337">
        <f t="shared" si="81"/>
        <v>99.97753368893882</v>
      </c>
    </row>
    <row r="875" spans="1:10" ht="34.5" customHeight="1" x14ac:dyDescent="0.25">
      <c r="A875" s="19" t="s">
        <v>149</v>
      </c>
      <c r="B875" s="482">
        <v>906</v>
      </c>
      <c r="C875" s="268" t="s">
        <v>145</v>
      </c>
      <c r="D875" s="268" t="s">
        <v>120</v>
      </c>
      <c r="E875" s="268" t="s">
        <v>374</v>
      </c>
      <c r="F875" s="487" t="s">
        <v>150</v>
      </c>
      <c r="G875" s="271">
        <f t="shared" si="86"/>
        <v>569.91999999999996</v>
      </c>
      <c r="H875" s="271">
        <f t="shared" si="86"/>
        <v>569.79196000000002</v>
      </c>
      <c r="I875" s="337">
        <f t="shared" si="81"/>
        <v>99.97753368893882</v>
      </c>
    </row>
    <row r="876" spans="1:10" ht="27.75" customHeight="1" x14ac:dyDescent="0.25">
      <c r="A876" s="68" t="s">
        <v>151</v>
      </c>
      <c r="B876" s="482">
        <v>906</v>
      </c>
      <c r="C876" s="268" t="s">
        <v>145</v>
      </c>
      <c r="D876" s="268" t="s">
        <v>120</v>
      </c>
      <c r="E876" s="268" t="s">
        <v>374</v>
      </c>
      <c r="F876" s="487" t="s">
        <v>152</v>
      </c>
      <c r="G876" s="271">
        <f>302.4+16.14+6+251.38-6</f>
        <v>569.91999999999996</v>
      </c>
      <c r="H876" s="271">
        <v>569.79196000000002</v>
      </c>
      <c r="I876" s="337">
        <f t="shared" si="81"/>
        <v>99.97753368893882</v>
      </c>
      <c r="J876" s="341"/>
    </row>
    <row r="877" spans="1:10" ht="31.5" customHeight="1" x14ac:dyDescent="0.25">
      <c r="A877" s="116" t="s">
        <v>1009</v>
      </c>
      <c r="B877" s="432">
        <v>906</v>
      </c>
      <c r="C877" s="481" t="s">
        <v>145</v>
      </c>
      <c r="D877" s="481" t="s">
        <v>145</v>
      </c>
      <c r="E877" s="268"/>
      <c r="F877" s="268"/>
      <c r="G877" s="338">
        <f t="shared" ref="G877:H882" si="87">G878</f>
        <v>200.11673000000002</v>
      </c>
      <c r="H877" s="338">
        <f t="shared" si="87"/>
        <v>199.53543999999999</v>
      </c>
      <c r="I877" s="338">
        <f t="shared" si="81"/>
        <v>99.709524536004551</v>
      </c>
    </row>
    <row r="878" spans="1:10" ht="47.25" x14ac:dyDescent="0.25">
      <c r="A878" s="116" t="s">
        <v>882</v>
      </c>
      <c r="B878" s="432">
        <v>906</v>
      </c>
      <c r="C878" s="481" t="s">
        <v>145</v>
      </c>
      <c r="D878" s="481" t="s">
        <v>145</v>
      </c>
      <c r="E878" s="481" t="s">
        <v>169</v>
      </c>
      <c r="F878" s="481"/>
      <c r="G878" s="338">
        <f t="shared" si="87"/>
        <v>200.11673000000002</v>
      </c>
      <c r="H878" s="338">
        <f t="shared" si="87"/>
        <v>199.53543999999999</v>
      </c>
      <c r="I878" s="338">
        <f t="shared" si="81"/>
        <v>99.709524536004551</v>
      </c>
    </row>
    <row r="879" spans="1:10" ht="31.5" x14ac:dyDescent="0.25">
      <c r="A879" s="116" t="s">
        <v>1067</v>
      </c>
      <c r="B879" s="432">
        <v>906</v>
      </c>
      <c r="C879" s="481" t="s">
        <v>145</v>
      </c>
      <c r="D879" s="481" t="s">
        <v>145</v>
      </c>
      <c r="E879" s="481" t="s">
        <v>171</v>
      </c>
      <c r="F879" s="481"/>
      <c r="G879" s="338">
        <f t="shared" si="87"/>
        <v>200.11673000000002</v>
      </c>
      <c r="H879" s="338">
        <f t="shared" si="87"/>
        <v>199.53543999999999</v>
      </c>
      <c r="I879" s="338">
        <f t="shared" si="81"/>
        <v>99.709524536004551</v>
      </c>
    </row>
    <row r="880" spans="1:10" ht="47.25" x14ac:dyDescent="0.25">
      <c r="A880" s="30" t="s">
        <v>454</v>
      </c>
      <c r="B880" s="432">
        <v>906</v>
      </c>
      <c r="C880" s="481" t="s">
        <v>145</v>
      </c>
      <c r="D880" s="481" t="s">
        <v>145</v>
      </c>
      <c r="E880" s="481" t="s">
        <v>343</v>
      </c>
      <c r="F880" s="481"/>
      <c r="G880" s="338">
        <f t="shared" si="87"/>
        <v>200.11673000000002</v>
      </c>
      <c r="H880" s="338">
        <f t="shared" si="87"/>
        <v>199.53543999999999</v>
      </c>
      <c r="I880" s="338">
        <f t="shared" si="81"/>
        <v>99.709524536004551</v>
      </c>
    </row>
    <row r="881" spans="1:10" ht="31.5" x14ac:dyDescent="0.25">
      <c r="A881" s="335" t="s">
        <v>821</v>
      </c>
      <c r="B881" s="482">
        <v>906</v>
      </c>
      <c r="C881" s="268" t="s">
        <v>145</v>
      </c>
      <c r="D881" s="268" t="s">
        <v>145</v>
      </c>
      <c r="E881" s="268" t="s">
        <v>822</v>
      </c>
      <c r="F881" s="268"/>
      <c r="G881" s="337">
        <f t="shared" si="87"/>
        <v>200.11673000000002</v>
      </c>
      <c r="H881" s="337">
        <f t="shared" si="87"/>
        <v>199.53543999999999</v>
      </c>
      <c r="I881" s="337">
        <f t="shared" si="81"/>
        <v>99.709524536004551</v>
      </c>
    </row>
    <row r="882" spans="1:10" ht="31.5" x14ac:dyDescent="0.25">
      <c r="A882" s="335" t="s">
        <v>149</v>
      </c>
      <c r="B882" s="482">
        <v>906</v>
      </c>
      <c r="C882" s="268" t="s">
        <v>145</v>
      </c>
      <c r="D882" s="268" t="s">
        <v>145</v>
      </c>
      <c r="E882" s="268" t="s">
        <v>822</v>
      </c>
      <c r="F882" s="268" t="s">
        <v>150</v>
      </c>
      <c r="G882" s="337">
        <f t="shared" si="87"/>
        <v>200.11673000000002</v>
      </c>
      <c r="H882" s="337">
        <f t="shared" si="87"/>
        <v>199.53543999999999</v>
      </c>
      <c r="I882" s="337">
        <f t="shared" si="81"/>
        <v>99.709524536004551</v>
      </c>
    </row>
    <row r="883" spans="1:10" ht="27" customHeight="1" x14ac:dyDescent="0.25">
      <c r="A883" s="335" t="s">
        <v>151</v>
      </c>
      <c r="B883" s="482">
        <v>906</v>
      </c>
      <c r="C883" s="268" t="s">
        <v>145</v>
      </c>
      <c r="D883" s="268" t="s">
        <v>145</v>
      </c>
      <c r="E883" s="268" t="s">
        <v>822</v>
      </c>
      <c r="F883" s="268" t="s">
        <v>152</v>
      </c>
      <c r="G883" s="337">
        <f>211.47084+4.387+1.1943+0.13059+7.169+2.165-20.3-6.1</f>
        <v>200.11673000000002</v>
      </c>
      <c r="H883" s="337">
        <v>199.53543999999999</v>
      </c>
      <c r="I883" s="337">
        <f t="shared" si="81"/>
        <v>99.709524536004551</v>
      </c>
      <c r="J883" s="341"/>
    </row>
    <row r="884" spans="1:10" ht="15.75" x14ac:dyDescent="0.25">
      <c r="A884" s="116" t="s">
        <v>157</v>
      </c>
      <c r="B884" s="432">
        <v>906</v>
      </c>
      <c r="C884" s="481" t="s">
        <v>145</v>
      </c>
      <c r="D884" s="481" t="s">
        <v>122</v>
      </c>
      <c r="E884" s="481"/>
      <c r="F884" s="481"/>
      <c r="G884" s="338">
        <f>G885+G911+G930</f>
        <v>39626.32819</v>
      </c>
      <c r="H884" s="338">
        <f>H885+H911+H930</f>
        <v>39186.286729999993</v>
      </c>
      <c r="I884" s="338">
        <f t="shared" si="81"/>
        <v>98.889522496532862</v>
      </c>
    </row>
    <row r="885" spans="1:10" ht="31.5" x14ac:dyDescent="0.25">
      <c r="A885" s="116" t="s">
        <v>362</v>
      </c>
      <c r="B885" s="432">
        <v>906</v>
      </c>
      <c r="C885" s="481" t="s">
        <v>145</v>
      </c>
      <c r="D885" s="481" t="s">
        <v>122</v>
      </c>
      <c r="E885" s="481" t="s">
        <v>321</v>
      </c>
      <c r="F885" s="481"/>
      <c r="G885" s="338">
        <f>G886</f>
        <v>12599.281260000002</v>
      </c>
      <c r="H885" s="338">
        <f>H886</f>
        <v>12404.359269999999</v>
      </c>
      <c r="I885" s="338">
        <f t="shared" si="81"/>
        <v>98.452911829035543</v>
      </c>
    </row>
    <row r="886" spans="1:10" ht="15.75" x14ac:dyDescent="0.25">
      <c r="A886" s="116" t="s">
        <v>363</v>
      </c>
      <c r="B886" s="432">
        <v>906</v>
      </c>
      <c r="C886" s="481" t="s">
        <v>145</v>
      </c>
      <c r="D886" s="481" t="s">
        <v>122</v>
      </c>
      <c r="E886" s="481" t="s">
        <v>322</v>
      </c>
      <c r="F886" s="481"/>
      <c r="G886" s="338">
        <f>G887+G892+G899+G902+G908+G905</f>
        <v>12599.281260000002</v>
      </c>
      <c r="H886" s="338">
        <f>H887+H892+H899+H902+H908+H905</f>
        <v>12404.359269999999</v>
      </c>
      <c r="I886" s="338">
        <f t="shared" si="81"/>
        <v>98.452911829035543</v>
      </c>
    </row>
    <row r="887" spans="1:10" ht="34.700000000000003" customHeight="1" x14ac:dyDescent="0.25">
      <c r="A887" s="335" t="s">
        <v>346</v>
      </c>
      <c r="B887" s="482">
        <v>906</v>
      </c>
      <c r="C887" s="268" t="s">
        <v>145</v>
      </c>
      <c r="D887" s="268" t="s">
        <v>122</v>
      </c>
      <c r="E887" s="268" t="s">
        <v>323</v>
      </c>
      <c r="F887" s="268"/>
      <c r="G887" s="337">
        <f>G888+G890</f>
        <v>7901.1130000000012</v>
      </c>
      <c r="H887" s="337">
        <f>H888+H890</f>
        <v>7722.1566000000003</v>
      </c>
      <c r="I887" s="337">
        <f t="shared" si="81"/>
        <v>97.735048214093368</v>
      </c>
    </row>
    <row r="888" spans="1:10" ht="76.5" customHeight="1" x14ac:dyDescent="0.25">
      <c r="A888" s="335" t="s">
        <v>84</v>
      </c>
      <c r="B888" s="482">
        <v>906</v>
      </c>
      <c r="C888" s="268" t="s">
        <v>145</v>
      </c>
      <c r="D888" s="268" t="s">
        <v>122</v>
      </c>
      <c r="E888" s="268" t="s">
        <v>323</v>
      </c>
      <c r="F888" s="268" t="s">
        <v>85</v>
      </c>
      <c r="G888" s="337">
        <f>G889</f>
        <v>7646.4230000000007</v>
      </c>
      <c r="H888" s="337">
        <f>H889</f>
        <v>7534.5552900000002</v>
      </c>
      <c r="I888" s="337">
        <f t="shared" si="81"/>
        <v>98.536992918126558</v>
      </c>
    </row>
    <row r="889" spans="1:10" ht="31.5" x14ac:dyDescent="0.25">
      <c r="A889" s="335" t="s">
        <v>86</v>
      </c>
      <c r="B889" s="482">
        <v>906</v>
      </c>
      <c r="C889" s="268" t="s">
        <v>145</v>
      </c>
      <c r="D889" s="268" t="s">
        <v>122</v>
      </c>
      <c r="E889" s="268" t="s">
        <v>323</v>
      </c>
      <c r="F889" s="268" t="s">
        <v>87</v>
      </c>
      <c r="G889" s="271">
        <f>7266.27+18.6+0.2+15.1+136.18+128.853+98.94+29.88-47.6</f>
        <v>7646.4230000000007</v>
      </c>
      <c r="H889" s="271">
        <v>7534.5552900000002</v>
      </c>
      <c r="I889" s="337">
        <f t="shared" si="81"/>
        <v>98.536992918126558</v>
      </c>
      <c r="J889" s="341"/>
    </row>
    <row r="890" spans="1:10" ht="31.5" x14ac:dyDescent="0.25">
      <c r="A890" s="335" t="s">
        <v>88</v>
      </c>
      <c r="B890" s="482">
        <v>906</v>
      </c>
      <c r="C890" s="268" t="s">
        <v>145</v>
      </c>
      <c r="D890" s="268" t="s">
        <v>122</v>
      </c>
      <c r="E890" s="268" t="s">
        <v>323</v>
      </c>
      <c r="F890" s="268" t="s">
        <v>89</v>
      </c>
      <c r="G890" s="337">
        <f>G891</f>
        <v>254.69000000000005</v>
      </c>
      <c r="H890" s="337">
        <f>H891</f>
        <v>187.60131000000001</v>
      </c>
      <c r="I890" s="337">
        <f t="shared" si="81"/>
        <v>73.658687031292942</v>
      </c>
    </row>
    <row r="891" spans="1:10" ht="31.5" x14ac:dyDescent="0.25">
      <c r="A891" s="335" t="s">
        <v>90</v>
      </c>
      <c r="B891" s="482">
        <v>906</v>
      </c>
      <c r="C891" s="268" t="s">
        <v>145</v>
      </c>
      <c r="D891" s="268" t="s">
        <v>122</v>
      </c>
      <c r="E891" s="268" t="s">
        <v>323</v>
      </c>
      <c r="F891" s="268" t="s">
        <v>91</v>
      </c>
      <c r="G891" s="337">
        <f>50+34.65+185.3+6+5.5-26.76</f>
        <v>254.69000000000005</v>
      </c>
      <c r="H891" s="337">
        <v>187.60131000000001</v>
      </c>
      <c r="I891" s="337">
        <f t="shared" si="81"/>
        <v>73.658687031292942</v>
      </c>
    </row>
    <row r="892" spans="1:10" ht="31.5" x14ac:dyDescent="0.25">
      <c r="A892" s="335" t="s">
        <v>305</v>
      </c>
      <c r="B892" s="482">
        <v>906</v>
      </c>
      <c r="C892" s="268" t="s">
        <v>145</v>
      </c>
      <c r="D892" s="268" t="s">
        <v>122</v>
      </c>
      <c r="E892" s="268" t="s">
        <v>324</v>
      </c>
      <c r="F892" s="268"/>
      <c r="G892" s="337">
        <f>G893+G895+G897</f>
        <v>4311.6260000000011</v>
      </c>
      <c r="H892" s="337">
        <f>H893+H895+H897</f>
        <v>4295.7393099999999</v>
      </c>
      <c r="I892" s="337">
        <f t="shared" si="81"/>
        <v>99.631538310604839</v>
      </c>
    </row>
    <row r="893" spans="1:10" ht="78.75" x14ac:dyDescent="0.25">
      <c r="A893" s="335" t="s">
        <v>84</v>
      </c>
      <c r="B893" s="482">
        <v>906</v>
      </c>
      <c r="C893" s="268" t="s">
        <v>145</v>
      </c>
      <c r="D893" s="268" t="s">
        <v>122</v>
      </c>
      <c r="E893" s="268" t="s">
        <v>324</v>
      </c>
      <c r="F893" s="268" t="s">
        <v>85</v>
      </c>
      <c r="G893" s="337">
        <f>G894</f>
        <v>4166.0760000000009</v>
      </c>
      <c r="H893" s="337">
        <f>H894</f>
        <v>4155.4135900000001</v>
      </c>
      <c r="I893" s="337">
        <f t="shared" si="81"/>
        <v>99.744065878778954</v>
      </c>
    </row>
    <row r="894" spans="1:10" ht="31.5" x14ac:dyDescent="0.25">
      <c r="A894" s="335" t="s">
        <v>86</v>
      </c>
      <c r="B894" s="482">
        <v>906</v>
      </c>
      <c r="C894" s="268" t="s">
        <v>145</v>
      </c>
      <c r="D894" s="268" t="s">
        <v>122</v>
      </c>
      <c r="E894" s="268" t="s">
        <v>324</v>
      </c>
      <c r="F894" s="268" t="s">
        <v>87</v>
      </c>
      <c r="G894" s="337">
        <f>4126.78+9.8+9.1-13.4+31.33+2.466</f>
        <v>4166.0760000000009</v>
      </c>
      <c r="H894" s="337">
        <v>4155.4135900000001</v>
      </c>
      <c r="I894" s="337">
        <f t="shared" si="81"/>
        <v>99.744065878778954</v>
      </c>
    </row>
    <row r="895" spans="1:10" ht="31.5" x14ac:dyDescent="0.25">
      <c r="A895" s="335" t="s">
        <v>88</v>
      </c>
      <c r="B895" s="482">
        <v>906</v>
      </c>
      <c r="C895" s="268" t="s">
        <v>145</v>
      </c>
      <c r="D895" s="268" t="s">
        <v>122</v>
      </c>
      <c r="E895" s="268" t="s">
        <v>324</v>
      </c>
      <c r="F895" s="268" t="s">
        <v>89</v>
      </c>
      <c r="G895" s="337">
        <f>G896</f>
        <v>142.55000000000001</v>
      </c>
      <c r="H895" s="337">
        <f>H896</f>
        <v>137.32571999999999</v>
      </c>
      <c r="I895" s="337">
        <f t="shared" si="81"/>
        <v>96.335124517713069</v>
      </c>
    </row>
    <row r="896" spans="1:10" ht="31.5" x14ac:dyDescent="0.25">
      <c r="A896" s="335" t="s">
        <v>90</v>
      </c>
      <c r="B896" s="482">
        <v>906</v>
      </c>
      <c r="C896" s="268" t="s">
        <v>145</v>
      </c>
      <c r="D896" s="268" t="s">
        <v>122</v>
      </c>
      <c r="E896" s="268" t="s">
        <v>324</v>
      </c>
      <c r="F896" s="268" t="s">
        <v>91</v>
      </c>
      <c r="G896" s="337">
        <f>70.2+55.95+16.4</f>
        <v>142.55000000000001</v>
      </c>
      <c r="H896" s="337">
        <v>137.32571999999999</v>
      </c>
      <c r="I896" s="337">
        <f t="shared" si="81"/>
        <v>96.335124517713069</v>
      </c>
      <c r="J896" s="341"/>
    </row>
    <row r="897" spans="1:10" ht="15.75" x14ac:dyDescent="0.25">
      <c r="A897" s="335" t="s">
        <v>92</v>
      </c>
      <c r="B897" s="482">
        <v>906</v>
      </c>
      <c r="C897" s="268" t="s">
        <v>145</v>
      </c>
      <c r="D897" s="268" t="s">
        <v>122</v>
      </c>
      <c r="E897" s="268" t="s">
        <v>324</v>
      </c>
      <c r="F897" s="268" t="s">
        <v>98</v>
      </c>
      <c r="G897" s="337">
        <f>G898</f>
        <v>3</v>
      </c>
      <c r="H897" s="337">
        <f>H898</f>
        <v>3</v>
      </c>
      <c r="I897" s="337">
        <f t="shared" si="81"/>
        <v>100</v>
      </c>
    </row>
    <row r="898" spans="1:10" ht="15.75" x14ac:dyDescent="0.25">
      <c r="A898" s="335" t="s">
        <v>223</v>
      </c>
      <c r="B898" s="482">
        <v>906</v>
      </c>
      <c r="C898" s="268" t="s">
        <v>145</v>
      </c>
      <c r="D898" s="268" t="s">
        <v>122</v>
      </c>
      <c r="E898" s="268" t="s">
        <v>324</v>
      </c>
      <c r="F898" s="268" t="s">
        <v>94</v>
      </c>
      <c r="G898" s="337">
        <f>1.5+1.5</f>
        <v>3</v>
      </c>
      <c r="H898" s="337">
        <v>3</v>
      </c>
      <c r="I898" s="337">
        <f t="shared" si="81"/>
        <v>100</v>
      </c>
    </row>
    <row r="899" spans="1:10" ht="31.5" x14ac:dyDescent="0.25">
      <c r="A899" s="335" t="s">
        <v>304</v>
      </c>
      <c r="B899" s="482">
        <v>906</v>
      </c>
      <c r="C899" s="268" t="s">
        <v>145</v>
      </c>
      <c r="D899" s="268" t="s">
        <v>122</v>
      </c>
      <c r="E899" s="268" t="s">
        <v>325</v>
      </c>
      <c r="F899" s="268"/>
      <c r="G899" s="337">
        <f>G900</f>
        <v>218.69</v>
      </c>
      <c r="H899" s="337">
        <f>H900</f>
        <v>218.61109999999999</v>
      </c>
      <c r="I899" s="337">
        <f t="shared" si="81"/>
        <v>99.963921532763266</v>
      </c>
    </row>
    <row r="900" spans="1:10" ht="78.75" x14ac:dyDescent="0.25">
      <c r="A900" s="335" t="s">
        <v>84</v>
      </c>
      <c r="B900" s="482">
        <v>906</v>
      </c>
      <c r="C900" s="268" t="s">
        <v>145</v>
      </c>
      <c r="D900" s="268" t="s">
        <v>122</v>
      </c>
      <c r="E900" s="268" t="s">
        <v>325</v>
      </c>
      <c r="F900" s="268" t="s">
        <v>85</v>
      </c>
      <c r="G900" s="337">
        <f>G901</f>
        <v>218.69</v>
      </c>
      <c r="H900" s="337">
        <f>H901</f>
        <v>218.61109999999999</v>
      </c>
      <c r="I900" s="337">
        <f t="shared" si="81"/>
        <v>99.963921532763266</v>
      </c>
    </row>
    <row r="901" spans="1:10" ht="31.5" x14ac:dyDescent="0.25">
      <c r="A901" s="335" t="s">
        <v>86</v>
      </c>
      <c r="B901" s="482">
        <v>906</v>
      </c>
      <c r="C901" s="268" t="s">
        <v>145</v>
      </c>
      <c r="D901" s="268" t="s">
        <v>122</v>
      </c>
      <c r="E901" s="268" t="s">
        <v>325</v>
      </c>
      <c r="F901" s="268" t="s">
        <v>87</v>
      </c>
      <c r="G901" s="337">
        <f>129+39.9+12.49+37.3</f>
        <v>218.69</v>
      </c>
      <c r="H901" s="337">
        <v>218.61109999999999</v>
      </c>
      <c r="I901" s="337">
        <f t="shared" si="81"/>
        <v>99.963921532763266</v>
      </c>
      <c r="J901" s="341"/>
    </row>
    <row r="902" spans="1:10" ht="31.5" x14ac:dyDescent="0.25">
      <c r="A902" s="335" t="s">
        <v>1085</v>
      </c>
      <c r="B902" s="482">
        <v>906</v>
      </c>
      <c r="C902" s="268" t="s">
        <v>145</v>
      </c>
      <c r="D902" s="268" t="s">
        <v>122</v>
      </c>
      <c r="E902" s="268" t="s">
        <v>1081</v>
      </c>
      <c r="F902" s="268"/>
      <c r="G902" s="337">
        <f>G903</f>
        <v>39.06</v>
      </c>
      <c r="H902" s="337">
        <f>H903</f>
        <v>39.06</v>
      </c>
      <c r="I902" s="337">
        <f t="shared" si="81"/>
        <v>100</v>
      </c>
      <c r="J902" s="341"/>
    </row>
    <row r="903" spans="1:10" ht="78.75" x14ac:dyDescent="0.25">
      <c r="A903" s="335" t="s">
        <v>84</v>
      </c>
      <c r="B903" s="482">
        <v>906</v>
      </c>
      <c r="C903" s="268" t="s">
        <v>145</v>
      </c>
      <c r="D903" s="268" t="s">
        <v>122</v>
      </c>
      <c r="E903" s="268" t="s">
        <v>1081</v>
      </c>
      <c r="F903" s="268" t="s">
        <v>85</v>
      </c>
      <c r="G903" s="337">
        <f>G904</f>
        <v>39.06</v>
      </c>
      <c r="H903" s="337">
        <f>H904</f>
        <v>39.06</v>
      </c>
      <c r="I903" s="337">
        <f t="shared" si="81"/>
        <v>100</v>
      </c>
      <c r="J903" s="341"/>
    </row>
    <row r="904" spans="1:10" ht="31.5" x14ac:dyDescent="0.25">
      <c r="A904" s="335" t="s">
        <v>86</v>
      </c>
      <c r="B904" s="482">
        <v>906</v>
      </c>
      <c r="C904" s="268" t="s">
        <v>145</v>
      </c>
      <c r="D904" s="268" t="s">
        <v>122</v>
      </c>
      <c r="E904" s="268" t="s">
        <v>1081</v>
      </c>
      <c r="F904" s="268" t="s">
        <v>87</v>
      </c>
      <c r="G904" s="337">
        <v>39.06</v>
      </c>
      <c r="H904" s="337">
        <v>39.06</v>
      </c>
      <c r="I904" s="337">
        <f t="shared" si="81"/>
        <v>100</v>
      </c>
      <c r="J904" s="341"/>
    </row>
    <row r="905" spans="1:10" ht="31.5" x14ac:dyDescent="0.25">
      <c r="A905" s="335" t="s">
        <v>1118</v>
      </c>
      <c r="B905" s="482">
        <v>906</v>
      </c>
      <c r="C905" s="268" t="s">
        <v>145</v>
      </c>
      <c r="D905" s="268" t="s">
        <v>122</v>
      </c>
      <c r="E905" s="268" t="s">
        <v>1122</v>
      </c>
      <c r="F905" s="268"/>
      <c r="G905" s="337">
        <f>G906</f>
        <v>70.384</v>
      </c>
      <c r="H905" s="337">
        <f>H906</f>
        <v>70.384</v>
      </c>
      <c r="I905" s="337">
        <f t="shared" si="81"/>
        <v>100</v>
      </c>
      <c r="J905" s="341"/>
    </row>
    <row r="906" spans="1:10" ht="72" customHeight="1" x14ac:dyDescent="0.25">
      <c r="A906" s="335" t="s">
        <v>84</v>
      </c>
      <c r="B906" s="482">
        <v>906</v>
      </c>
      <c r="C906" s="268" t="s">
        <v>145</v>
      </c>
      <c r="D906" s="268" t="s">
        <v>122</v>
      </c>
      <c r="E906" s="268" t="s">
        <v>1122</v>
      </c>
      <c r="F906" s="268" t="s">
        <v>85</v>
      </c>
      <c r="G906" s="337">
        <f>G907</f>
        <v>70.384</v>
      </c>
      <c r="H906" s="337">
        <f>H907</f>
        <v>70.384</v>
      </c>
      <c r="I906" s="337">
        <f t="shared" si="81"/>
        <v>100</v>
      </c>
      <c r="J906" s="333"/>
    </row>
    <row r="907" spans="1:10" ht="31.9" customHeight="1" x14ac:dyDescent="0.25">
      <c r="A907" s="335" t="s">
        <v>86</v>
      </c>
      <c r="B907" s="482">
        <v>906</v>
      </c>
      <c r="C907" s="268" t="s">
        <v>145</v>
      </c>
      <c r="D907" s="268" t="s">
        <v>122</v>
      </c>
      <c r="E907" s="268" t="s">
        <v>1122</v>
      </c>
      <c r="F907" s="268" t="s">
        <v>87</v>
      </c>
      <c r="G907" s="337">
        <f>55.95+14.434</f>
        <v>70.384</v>
      </c>
      <c r="H907" s="337">
        <v>70.384</v>
      </c>
      <c r="I907" s="337">
        <f t="shared" si="81"/>
        <v>100</v>
      </c>
    </row>
    <row r="908" spans="1:10" ht="47.25" x14ac:dyDescent="0.25">
      <c r="A908" s="335" t="s">
        <v>1107</v>
      </c>
      <c r="B908" s="482">
        <v>906</v>
      </c>
      <c r="C908" s="268" t="s">
        <v>145</v>
      </c>
      <c r="D908" s="268" t="s">
        <v>122</v>
      </c>
      <c r="E908" s="268" t="s">
        <v>1106</v>
      </c>
      <c r="F908" s="268"/>
      <c r="G908" s="337">
        <f>G909</f>
        <v>58.408259999999999</v>
      </c>
      <c r="H908" s="337">
        <f>H909</f>
        <v>58.408259999999999</v>
      </c>
      <c r="I908" s="337">
        <f t="shared" ref="I908:I971" si="88">H908/G908*100</f>
        <v>100</v>
      </c>
      <c r="J908" s="333"/>
    </row>
    <row r="909" spans="1:10" ht="78.75" x14ac:dyDescent="0.25">
      <c r="A909" s="335" t="s">
        <v>84</v>
      </c>
      <c r="B909" s="482">
        <v>906</v>
      </c>
      <c r="C909" s="268" t="s">
        <v>145</v>
      </c>
      <c r="D909" s="268" t="s">
        <v>122</v>
      </c>
      <c r="E909" s="268" t="s">
        <v>1106</v>
      </c>
      <c r="F909" s="268" t="s">
        <v>85</v>
      </c>
      <c r="G909" s="337">
        <f>G910</f>
        <v>58.408259999999999</v>
      </c>
      <c r="H909" s="337">
        <f>H910</f>
        <v>58.408259999999999</v>
      </c>
      <c r="I909" s="337">
        <f t="shared" si="88"/>
        <v>100</v>
      </c>
      <c r="J909" s="333"/>
    </row>
    <row r="910" spans="1:10" ht="34.15" customHeight="1" x14ac:dyDescent="0.25">
      <c r="A910" s="335" t="s">
        <v>86</v>
      </c>
      <c r="B910" s="482">
        <v>906</v>
      </c>
      <c r="C910" s="268" t="s">
        <v>145</v>
      </c>
      <c r="D910" s="268" t="s">
        <v>122</v>
      </c>
      <c r="E910" s="268" t="s">
        <v>1106</v>
      </c>
      <c r="F910" s="268" t="s">
        <v>87</v>
      </c>
      <c r="G910" s="337">
        <f>46.9585+13.61793-1.68075-0.48742</f>
        <v>58.408259999999999</v>
      </c>
      <c r="H910" s="337">
        <v>58.408259999999999</v>
      </c>
      <c r="I910" s="337">
        <f t="shared" si="88"/>
        <v>100</v>
      </c>
      <c r="J910" s="341"/>
    </row>
    <row r="911" spans="1:10" ht="15.75" x14ac:dyDescent="0.25">
      <c r="A911" s="116" t="s">
        <v>97</v>
      </c>
      <c r="B911" s="432">
        <v>906</v>
      </c>
      <c r="C911" s="481" t="s">
        <v>145</v>
      </c>
      <c r="D911" s="481" t="s">
        <v>122</v>
      </c>
      <c r="E911" s="481" t="s">
        <v>329</v>
      </c>
      <c r="F911" s="481"/>
      <c r="G911" s="338">
        <f>G912+G926</f>
        <v>18375.275999999998</v>
      </c>
      <c r="H911" s="338">
        <f>H912+H926</f>
        <v>18319.628229999998</v>
      </c>
      <c r="I911" s="338">
        <f t="shared" si="88"/>
        <v>99.697159541984576</v>
      </c>
    </row>
    <row r="912" spans="1:10" ht="15.75" x14ac:dyDescent="0.25">
      <c r="A912" s="116" t="s">
        <v>736</v>
      </c>
      <c r="B912" s="432">
        <v>906</v>
      </c>
      <c r="C912" s="481" t="s">
        <v>145</v>
      </c>
      <c r="D912" s="481" t="s">
        <v>122</v>
      </c>
      <c r="E912" s="481" t="s">
        <v>384</v>
      </c>
      <c r="F912" s="481"/>
      <c r="G912" s="338">
        <f>G913+G916+G923</f>
        <v>17635.275999999998</v>
      </c>
      <c r="H912" s="338">
        <f>H913+H916+H923</f>
        <v>17580.864529999999</v>
      </c>
      <c r="I912" s="338">
        <f t="shared" si="88"/>
        <v>99.691462328120068</v>
      </c>
    </row>
    <row r="913" spans="1:10" ht="31.5" x14ac:dyDescent="0.25">
      <c r="A913" s="335" t="s">
        <v>304</v>
      </c>
      <c r="B913" s="482">
        <v>906</v>
      </c>
      <c r="C913" s="268" t="s">
        <v>145</v>
      </c>
      <c r="D913" s="268" t="s">
        <v>122</v>
      </c>
      <c r="E913" s="268" t="s">
        <v>387</v>
      </c>
      <c r="F913" s="268"/>
      <c r="G913" s="337">
        <f>G914</f>
        <v>78.409999999999982</v>
      </c>
      <c r="H913" s="337">
        <f>H914</f>
        <v>78.41</v>
      </c>
      <c r="I913" s="337">
        <f t="shared" si="88"/>
        <v>100.00000000000003</v>
      </c>
    </row>
    <row r="914" spans="1:10" ht="78.75" x14ac:dyDescent="0.25">
      <c r="A914" s="335" t="s">
        <v>84</v>
      </c>
      <c r="B914" s="482">
        <v>906</v>
      </c>
      <c r="C914" s="268" t="s">
        <v>145</v>
      </c>
      <c r="D914" s="268" t="s">
        <v>122</v>
      </c>
      <c r="E914" s="268" t="s">
        <v>387</v>
      </c>
      <c r="F914" s="268" t="s">
        <v>85</v>
      </c>
      <c r="G914" s="337">
        <f>G915</f>
        <v>78.409999999999982</v>
      </c>
      <c r="H914" s="337">
        <f>H915</f>
        <v>78.41</v>
      </c>
      <c r="I914" s="337">
        <f t="shared" si="88"/>
        <v>100.00000000000003</v>
      </c>
    </row>
    <row r="915" spans="1:10" ht="26.25" customHeight="1" x14ac:dyDescent="0.25">
      <c r="A915" s="335" t="s">
        <v>168</v>
      </c>
      <c r="B915" s="482">
        <v>906</v>
      </c>
      <c r="C915" s="268" t="s">
        <v>145</v>
      </c>
      <c r="D915" s="268" t="s">
        <v>122</v>
      </c>
      <c r="E915" s="268" t="s">
        <v>387</v>
      </c>
      <c r="F915" s="268" t="s">
        <v>117</v>
      </c>
      <c r="G915" s="337">
        <f>258-39.9-12.49-5.5-121.7</f>
        <v>78.409999999999982</v>
      </c>
      <c r="H915" s="337">
        <v>78.41</v>
      </c>
      <c r="I915" s="337">
        <f t="shared" si="88"/>
        <v>100.00000000000003</v>
      </c>
    </row>
    <row r="916" spans="1:10" ht="15.75" x14ac:dyDescent="0.25">
      <c r="A916" s="335" t="s">
        <v>283</v>
      </c>
      <c r="B916" s="482">
        <v>906</v>
      </c>
      <c r="C916" s="268" t="s">
        <v>145</v>
      </c>
      <c r="D916" s="268" t="s">
        <v>122</v>
      </c>
      <c r="E916" s="268" t="s">
        <v>386</v>
      </c>
      <c r="F916" s="268"/>
      <c r="G916" s="337">
        <f>G917+G919+G921</f>
        <v>17291.175999999999</v>
      </c>
      <c r="H916" s="337">
        <f>H917+H919+H921</f>
        <v>17236.76453</v>
      </c>
      <c r="I916" s="337">
        <f t="shared" si="88"/>
        <v>99.685322328568063</v>
      </c>
    </row>
    <row r="917" spans="1:10" ht="78.75" x14ac:dyDescent="0.25">
      <c r="A917" s="335" t="s">
        <v>84</v>
      </c>
      <c r="B917" s="482">
        <v>906</v>
      </c>
      <c r="C917" s="268" t="s">
        <v>145</v>
      </c>
      <c r="D917" s="268" t="s">
        <v>122</v>
      </c>
      <c r="E917" s="268" t="s">
        <v>386</v>
      </c>
      <c r="F917" s="268" t="s">
        <v>85</v>
      </c>
      <c r="G917" s="337">
        <f>G918</f>
        <v>16342.069</v>
      </c>
      <c r="H917" s="337">
        <f>H918</f>
        <v>16332.17073</v>
      </c>
      <c r="I917" s="337">
        <f t="shared" si="88"/>
        <v>99.939430741603161</v>
      </c>
    </row>
    <row r="918" spans="1:10" ht="28.5" customHeight="1" x14ac:dyDescent="0.25">
      <c r="A918" s="335" t="s">
        <v>168</v>
      </c>
      <c r="B918" s="482">
        <v>906</v>
      </c>
      <c r="C918" s="268" t="s">
        <v>145</v>
      </c>
      <c r="D918" s="268" t="s">
        <v>122</v>
      </c>
      <c r="E918" s="268" t="s">
        <v>386</v>
      </c>
      <c r="F918" s="268" t="s">
        <v>117</v>
      </c>
      <c r="G918" s="337">
        <f>15097.22-28.4-6-0.2-9.1+898.052+345.197-2.3+47.6</f>
        <v>16342.069</v>
      </c>
      <c r="H918" s="337">
        <v>16332.17073</v>
      </c>
      <c r="I918" s="337">
        <f t="shared" si="88"/>
        <v>99.939430741603161</v>
      </c>
      <c r="J918" s="341"/>
    </row>
    <row r="919" spans="1:10" ht="31.5" x14ac:dyDescent="0.25">
      <c r="A919" s="335" t="s">
        <v>88</v>
      </c>
      <c r="B919" s="482">
        <v>906</v>
      </c>
      <c r="C919" s="268" t="s">
        <v>145</v>
      </c>
      <c r="D919" s="268" t="s">
        <v>122</v>
      </c>
      <c r="E919" s="268" t="s">
        <v>386</v>
      </c>
      <c r="F919" s="268" t="s">
        <v>89</v>
      </c>
      <c r="G919" s="337">
        <f>G920</f>
        <v>945.10699999999997</v>
      </c>
      <c r="H919" s="337">
        <f>H920</f>
        <v>904.09379999999999</v>
      </c>
      <c r="I919" s="337">
        <f t="shared" si="88"/>
        <v>95.660470190147777</v>
      </c>
    </row>
    <row r="920" spans="1:10" ht="31.5" x14ac:dyDescent="0.25">
      <c r="A920" s="335" t="s">
        <v>90</v>
      </c>
      <c r="B920" s="482">
        <v>906</v>
      </c>
      <c r="C920" s="268" t="s">
        <v>145</v>
      </c>
      <c r="D920" s="268" t="s">
        <v>122</v>
      </c>
      <c r="E920" s="268" t="s">
        <v>386</v>
      </c>
      <c r="F920" s="268" t="s">
        <v>91</v>
      </c>
      <c r="G920" s="337">
        <f>1293.9-34.65-255.5+80-116.144-9.91-12.589</f>
        <v>945.10699999999997</v>
      </c>
      <c r="H920" s="337">
        <v>904.09379999999999</v>
      </c>
      <c r="I920" s="337">
        <f t="shared" si="88"/>
        <v>95.660470190147777</v>
      </c>
    </row>
    <row r="921" spans="1:10" ht="15.75" x14ac:dyDescent="0.25">
      <c r="A921" s="335" t="s">
        <v>92</v>
      </c>
      <c r="B921" s="482">
        <v>906</v>
      </c>
      <c r="C921" s="268" t="s">
        <v>145</v>
      </c>
      <c r="D921" s="268" t="s">
        <v>122</v>
      </c>
      <c r="E921" s="268" t="s">
        <v>386</v>
      </c>
      <c r="F921" s="268" t="s">
        <v>98</v>
      </c>
      <c r="G921" s="337">
        <f>G922</f>
        <v>4</v>
      </c>
      <c r="H921" s="337">
        <f>H922</f>
        <v>0.5</v>
      </c>
      <c r="I921" s="337">
        <f t="shared" si="88"/>
        <v>12.5</v>
      </c>
    </row>
    <row r="922" spans="1:10" ht="15.75" x14ac:dyDescent="0.25">
      <c r="A922" s="335" t="s">
        <v>223</v>
      </c>
      <c r="B922" s="482">
        <v>906</v>
      </c>
      <c r="C922" s="268" t="s">
        <v>145</v>
      </c>
      <c r="D922" s="268" t="s">
        <v>122</v>
      </c>
      <c r="E922" s="268" t="s">
        <v>386</v>
      </c>
      <c r="F922" s="268" t="s">
        <v>94</v>
      </c>
      <c r="G922" s="337">
        <f>7-2+0.5-1.5</f>
        <v>4</v>
      </c>
      <c r="H922" s="337">
        <v>0.5</v>
      </c>
      <c r="I922" s="337">
        <f t="shared" si="88"/>
        <v>12.5</v>
      </c>
    </row>
    <row r="923" spans="1:10" ht="31.5" x14ac:dyDescent="0.25">
      <c r="A923" s="335" t="s">
        <v>1118</v>
      </c>
      <c r="B923" s="482">
        <v>906</v>
      </c>
      <c r="C923" s="268" t="s">
        <v>145</v>
      </c>
      <c r="D923" s="268" t="s">
        <v>122</v>
      </c>
      <c r="E923" s="268" t="s">
        <v>1119</v>
      </c>
      <c r="F923" s="268"/>
      <c r="G923" s="337">
        <f>G924</f>
        <v>265.69</v>
      </c>
      <c r="H923" s="337">
        <f>H924</f>
        <v>265.69</v>
      </c>
      <c r="I923" s="337">
        <f t="shared" si="88"/>
        <v>100</v>
      </c>
      <c r="J923" s="333"/>
    </row>
    <row r="924" spans="1:10" ht="75.75" customHeight="1" x14ac:dyDescent="0.25">
      <c r="A924" s="335" t="s">
        <v>84</v>
      </c>
      <c r="B924" s="482">
        <v>906</v>
      </c>
      <c r="C924" s="268" t="s">
        <v>145</v>
      </c>
      <c r="D924" s="268" t="s">
        <v>122</v>
      </c>
      <c r="E924" s="268" t="s">
        <v>1119</v>
      </c>
      <c r="F924" s="268" t="s">
        <v>85</v>
      </c>
      <c r="G924" s="337">
        <f>G925</f>
        <v>265.69</v>
      </c>
      <c r="H924" s="337">
        <f>H925</f>
        <v>265.69</v>
      </c>
      <c r="I924" s="337">
        <f t="shared" si="88"/>
        <v>100</v>
      </c>
      <c r="J924" s="333"/>
    </row>
    <row r="925" spans="1:10" ht="15.75" x14ac:dyDescent="0.25">
      <c r="A925" s="335" t="s">
        <v>168</v>
      </c>
      <c r="B925" s="482">
        <v>906</v>
      </c>
      <c r="C925" s="268" t="s">
        <v>145</v>
      </c>
      <c r="D925" s="268" t="s">
        <v>122</v>
      </c>
      <c r="E925" s="268" t="s">
        <v>1119</v>
      </c>
      <c r="F925" s="268" t="s">
        <v>117</v>
      </c>
      <c r="G925" s="337">
        <f>204.06+61.63</f>
        <v>265.69</v>
      </c>
      <c r="H925" s="337">
        <v>265.69</v>
      </c>
      <c r="I925" s="337">
        <f t="shared" si="88"/>
        <v>100</v>
      </c>
    </row>
    <row r="926" spans="1:10" ht="31.5" x14ac:dyDescent="0.25">
      <c r="A926" s="116" t="s">
        <v>330</v>
      </c>
      <c r="B926" s="432">
        <v>906</v>
      </c>
      <c r="C926" s="481" t="s">
        <v>145</v>
      </c>
      <c r="D926" s="481" t="s">
        <v>122</v>
      </c>
      <c r="E926" s="481" t="s">
        <v>328</v>
      </c>
      <c r="F926" s="481"/>
      <c r="G926" s="338">
        <f t="shared" ref="G926:H928" si="89">G927</f>
        <v>740</v>
      </c>
      <c r="H926" s="338">
        <f t="shared" si="89"/>
        <v>738.76369999999997</v>
      </c>
      <c r="I926" s="337">
        <f t="shared" si="88"/>
        <v>99.832932432432429</v>
      </c>
    </row>
    <row r="927" spans="1:10" ht="15.75" x14ac:dyDescent="0.25">
      <c r="A927" s="335" t="s">
        <v>194</v>
      </c>
      <c r="B927" s="482">
        <v>906</v>
      </c>
      <c r="C927" s="268" t="s">
        <v>145</v>
      </c>
      <c r="D927" s="268" t="s">
        <v>122</v>
      </c>
      <c r="E927" s="268" t="s">
        <v>378</v>
      </c>
      <c r="F927" s="268"/>
      <c r="G927" s="337">
        <f t="shared" si="89"/>
        <v>740</v>
      </c>
      <c r="H927" s="337">
        <f t="shared" si="89"/>
        <v>738.76369999999997</v>
      </c>
      <c r="I927" s="337">
        <f t="shared" si="88"/>
        <v>99.832932432432429</v>
      </c>
    </row>
    <row r="928" spans="1:10" ht="31.5" x14ac:dyDescent="0.25">
      <c r="A928" s="335" t="s">
        <v>88</v>
      </c>
      <c r="B928" s="482">
        <v>906</v>
      </c>
      <c r="C928" s="268" t="s">
        <v>145</v>
      </c>
      <c r="D928" s="268" t="s">
        <v>122</v>
      </c>
      <c r="E928" s="268" t="s">
        <v>378</v>
      </c>
      <c r="F928" s="268" t="s">
        <v>89</v>
      </c>
      <c r="G928" s="337">
        <f t="shared" si="89"/>
        <v>740</v>
      </c>
      <c r="H928" s="337">
        <f t="shared" si="89"/>
        <v>738.76369999999997</v>
      </c>
      <c r="I928" s="337">
        <f t="shared" si="88"/>
        <v>99.832932432432429</v>
      </c>
    </row>
    <row r="929" spans="1:10" ht="31.5" x14ac:dyDescent="0.25">
      <c r="A929" s="335" t="s">
        <v>90</v>
      </c>
      <c r="B929" s="482">
        <v>906</v>
      </c>
      <c r="C929" s="268" t="s">
        <v>145</v>
      </c>
      <c r="D929" s="268" t="s">
        <v>122</v>
      </c>
      <c r="E929" s="268" t="s">
        <v>378</v>
      </c>
      <c r="F929" s="268" t="s">
        <v>91</v>
      </c>
      <c r="G929" s="337">
        <f>650+90</f>
        <v>740</v>
      </c>
      <c r="H929" s="337">
        <v>738.76369999999997</v>
      </c>
      <c r="I929" s="337">
        <f t="shared" si="88"/>
        <v>99.832932432432429</v>
      </c>
      <c r="J929" s="341"/>
    </row>
    <row r="930" spans="1:10" ht="31.5" x14ac:dyDescent="0.25">
      <c r="A930" s="116" t="s">
        <v>904</v>
      </c>
      <c r="B930" s="432">
        <v>906</v>
      </c>
      <c r="C930" s="481" t="s">
        <v>145</v>
      </c>
      <c r="D930" s="481" t="s">
        <v>122</v>
      </c>
      <c r="E930" s="481" t="s">
        <v>189</v>
      </c>
      <c r="F930" s="268"/>
      <c r="G930" s="338">
        <f>G931+G935</f>
        <v>8651.770929999997</v>
      </c>
      <c r="H930" s="338">
        <f>H931+H935</f>
        <v>8462.2992300000005</v>
      </c>
      <c r="I930" s="337">
        <f t="shared" si="88"/>
        <v>97.810024080237682</v>
      </c>
    </row>
    <row r="931" spans="1:10" ht="31.5" x14ac:dyDescent="0.25">
      <c r="A931" s="116" t="s">
        <v>377</v>
      </c>
      <c r="B931" s="432">
        <v>906</v>
      </c>
      <c r="C931" s="481" t="s">
        <v>145</v>
      </c>
      <c r="D931" s="481" t="s">
        <v>122</v>
      </c>
      <c r="E931" s="481" t="s">
        <v>588</v>
      </c>
      <c r="F931" s="481"/>
      <c r="G931" s="338">
        <f t="shared" ref="G931:H933" si="90">G932</f>
        <v>8247.3869299999969</v>
      </c>
      <c r="H931" s="338">
        <f t="shared" si="90"/>
        <v>8057.9157100000002</v>
      </c>
      <c r="I931" s="337">
        <f t="shared" si="88"/>
        <v>97.702651499097342</v>
      </c>
    </row>
    <row r="932" spans="1:10" ht="24" customHeight="1" x14ac:dyDescent="0.25">
      <c r="A932" s="20" t="s">
        <v>879</v>
      </c>
      <c r="B932" s="482">
        <v>906</v>
      </c>
      <c r="C932" s="268" t="s">
        <v>145</v>
      </c>
      <c r="D932" s="268" t="s">
        <v>122</v>
      </c>
      <c r="E932" s="268" t="s">
        <v>842</v>
      </c>
      <c r="F932" s="268"/>
      <c r="G932" s="337">
        <f t="shared" si="90"/>
        <v>8247.3869299999969</v>
      </c>
      <c r="H932" s="337">
        <f t="shared" si="90"/>
        <v>8057.9157100000002</v>
      </c>
      <c r="I932" s="337">
        <f t="shared" si="88"/>
        <v>97.702651499097342</v>
      </c>
    </row>
    <row r="933" spans="1:10" ht="31.5" x14ac:dyDescent="0.25">
      <c r="A933" s="335" t="s">
        <v>149</v>
      </c>
      <c r="B933" s="482">
        <v>906</v>
      </c>
      <c r="C933" s="268" t="s">
        <v>145</v>
      </c>
      <c r="D933" s="268" t="s">
        <v>122</v>
      </c>
      <c r="E933" s="268" t="s">
        <v>842</v>
      </c>
      <c r="F933" s="268" t="s">
        <v>150</v>
      </c>
      <c r="G933" s="337">
        <f t="shared" si="90"/>
        <v>8247.3869299999969</v>
      </c>
      <c r="H933" s="337">
        <f t="shared" si="90"/>
        <v>8057.9157100000002</v>
      </c>
      <c r="I933" s="337">
        <f t="shared" si="88"/>
        <v>97.702651499097342</v>
      </c>
    </row>
    <row r="934" spans="1:10" ht="15.75" x14ac:dyDescent="0.25">
      <c r="A934" s="335" t="s">
        <v>151</v>
      </c>
      <c r="B934" s="482">
        <v>906</v>
      </c>
      <c r="C934" s="268" t="s">
        <v>145</v>
      </c>
      <c r="D934" s="268" t="s">
        <v>122</v>
      </c>
      <c r="E934" s="268" t="s">
        <v>842</v>
      </c>
      <c r="F934" s="268" t="s">
        <v>152</v>
      </c>
      <c r="G934" s="271">
        <f>9532.8-132-37-467.38267-120.876-317.47188-1.35049-96.03-0.49301-43.9-33.43071-3.476-0.04431-2.494-0.78-0.06-28.624</f>
        <v>8247.3869299999969</v>
      </c>
      <c r="H934" s="271">
        <v>8057.9157100000002</v>
      </c>
      <c r="I934" s="337">
        <f t="shared" si="88"/>
        <v>97.702651499097342</v>
      </c>
    </row>
    <row r="935" spans="1:10" ht="47.25" x14ac:dyDescent="0.25">
      <c r="A935" s="22" t="s">
        <v>727</v>
      </c>
      <c r="B935" s="432">
        <v>906</v>
      </c>
      <c r="C935" s="481" t="s">
        <v>145</v>
      </c>
      <c r="D935" s="481" t="s">
        <v>122</v>
      </c>
      <c r="E935" s="481" t="s">
        <v>989</v>
      </c>
      <c r="F935" s="481"/>
      <c r="G935" s="273">
        <f t="shared" ref="G935:H937" si="91">G936</f>
        <v>404.3839999999999</v>
      </c>
      <c r="H935" s="273">
        <f t="shared" si="91"/>
        <v>404.38351999999998</v>
      </c>
      <c r="I935" s="337">
        <f t="shared" si="88"/>
        <v>99.999881300941695</v>
      </c>
    </row>
    <row r="936" spans="1:10" ht="31.5" x14ac:dyDescent="0.25">
      <c r="A936" s="20" t="s">
        <v>740</v>
      </c>
      <c r="B936" s="482">
        <v>906</v>
      </c>
      <c r="C936" s="268" t="s">
        <v>145</v>
      </c>
      <c r="D936" s="268" t="s">
        <v>122</v>
      </c>
      <c r="E936" s="268" t="s">
        <v>990</v>
      </c>
      <c r="F936" s="268"/>
      <c r="G936" s="271">
        <f>G937+G939</f>
        <v>404.3839999999999</v>
      </c>
      <c r="H936" s="271">
        <f>H937+H939</f>
        <v>404.38351999999998</v>
      </c>
      <c r="I936" s="337">
        <f t="shared" si="88"/>
        <v>99.999881300941695</v>
      </c>
    </row>
    <row r="937" spans="1:10" ht="31.5" x14ac:dyDescent="0.25">
      <c r="A937" s="335" t="s">
        <v>149</v>
      </c>
      <c r="B937" s="482">
        <v>906</v>
      </c>
      <c r="C937" s="268" t="s">
        <v>145</v>
      </c>
      <c r="D937" s="268" t="s">
        <v>122</v>
      </c>
      <c r="E937" s="268" t="s">
        <v>990</v>
      </c>
      <c r="F937" s="268" t="s">
        <v>150</v>
      </c>
      <c r="G937" s="271">
        <f t="shared" si="91"/>
        <v>404.3839999999999</v>
      </c>
      <c r="H937" s="271">
        <f t="shared" si="91"/>
        <v>404.38351999999998</v>
      </c>
      <c r="I937" s="337">
        <f t="shared" si="88"/>
        <v>99.999881300941695</v>
      </c>
    </row>
    <row r="938" spans="1:10" ht="22.15" customHeight="1" x14ac:dyDescent="0.25">
      <c r="A938" s="70" t="s">
        <v>728</v>
      </c>
      <c r="B938" s="482">
        <v>906</v>
      </c>
      <c r="C938" s="268" t="s">
        <v>145</v>
      </c>
      <c r="D938" s="268" t="s">
        <v>122</v>
      </c>
      <c r="E938" s="268" t="s">
        <v>990</v>
      </c>
      <c r="F938" s="268" t="s">
        <v>729</v>
      </c>
      <c r="G938" s="271">
        <f>974.8-570.416</f>
        <v>404.3839999999999</v>
      </c>
      <c r="H938" s="271">
        <v>404.38351999999998</v>
      </c>
      <c r="I938" s="337">
        <f t="shared" si="88"/>
        <v>99.999881300941695</v>
      </c>
    </row>
    <row r="939" spans="1:10" ht="69" hidden="1" customHeight="1" x14ac:dyDescent="0.25">
      <c r="A939" s="70" t="s">
        <v>1088</v>
      </c>
      <c r="B939" s="482">
        <v>906</v>
      </c>
      <c r="C939" s="268" t="s">
        <v>145</v>
      </c>
      <c r="D939" s="268" t="s">
        <v>122</v>
      </c>
      <c r="E939" s="268" t="s">
        <v>990</v>
      </c>
      <c r="F939" s="268" t="s">
        <v>150</v>
      </c>
      <c r="G939" s="271">
        <f>G940</f>
        <v>0</v>
      </c>
      <c r="H939" s="271">
        <f>H940</f>
        <v>0</v>
      </c>
      <c r="I939" s="337" t="e">
        <f t="shared" si="88"/>
        <v>#DIV/0!</v>
      </c>
    </row>
    <row r="940" spans="1:10" ht="21.6" hidden="1" customHeight="1" x14ac:dyDescent="0.25">
      <c r="A940" s="70" t="s">
        <v>1087</v>
      </c>
      <c r="B940" s="482">
        <v>906</v>
      </c>
      <c r="C940" s="268" t="s">
        <v>145</v>
      </c>
      <c r="D940" s="268" t="s">
        <v>122</v>
      </c>
      <c r="E940" s="268" t="s">
        <v>990</v>
      </c>
      <c r="F940" s="268" t="s">
        <v>1089</v>
      </c>
      <c r="G940" s="271">
        <f>162.4625-162.4625</f>
        <v>0</v>
      </c>
      <c r="H940" s="271">
        <f>162.4625-162.4625</f>
        <v>0</v>
      </c>
      <c r="I940" s="337" t="e">
        <f t="shared" si="88"/>
        <v>#DIV/0!</v>
      </c>
      <c r="J940" s="341"/>
    </row>
    <row r="941" spans="1:10" ht="36.6" customHeight="1" x14ac:dyDescent="0.25">
      <c r="A941" s="115" t="s">
        <v>889</v>
      </c>
      <c r="B941" s="432">
        <v>907</v>
      </c>
      <c r="C941" s="268"/>
      <c r="D941" s="268"/>
      <c r="E941" s="268"/>
      <c r="F941" s="268"/>
      <c r="G941" s="338">
        <f>G961+G942+G954</f>
        <v>89226.175039999987</v>
      </c>
      <c r="H941" s="338">
        <f>H961+H942+H954</f>
        <v>85794.297380000004</v>
      </c>
      <c r="I941" s="338">
        <f t="shared" si="88"/>
        <v>96.153732177288248</v>
      </c>
      <c r="J941" s="281"/>
    </row>
    <row r="942" spans="1:10" ht="18.75" customHeight="1" x14ac:dyDescent="0.25">
      <c r="A942" s="116" t="s">
        <v>80</v>
      </c>
      <c r="B942" s="432">
        <v>907</v>
      </c>
      <c r="C942" s="481" t="s">
        <v>81</v>
      </c>
      <c r="D942" s="481"/>
      <c r="E942" s="481"/>
      <c r="F942" s="481"/>
      <c r="G942" s="338">
        <f t="shared" ref="G942:H942" si="92">G943</f>
        <v>40</v>
      </c>
      <c r="H942" s="338">
        <f t="shared" si="92"/>
        <v>40</v>
      </c>
      <c r="I942" s="338">
        <f t="shared" si="88"/>
        <v>100</v>
      </c>
    </row>
    <row r="943" spans="1:10" ht="21.75" customHeight="1" x14ac:dyDescent="0.25">
      <c r="A943" s="22" t="s">
        <v>95</v>
      </c>
      <c r="B943" s="432">
        <v>907</v>
      </c>
      <c r="C943" s="481" t="s">
        <v>81</v>
      </c>
      <c r="D943" s="481" t="s">
        <v>96</v>
      </c>
      <c r="E943" s="481"/>
      <c r="F943" s="481"/>
      <c r="G943" s="338">
        <f>G944+G949</f>
        <v>40</v>
      </c>
      <c r="H943" s="338">
        <f>H944+H949</f>
        <v>40</v>
      </c>
      <c r="I943" s="338">
        <f t="shared" si="88"/>
        <v>100</v>
      </c>
    </row>
    <row r="944" spans="1:10" ht="47.25" hidden="1" customHeight="1" x14ac:dyDescent="0.25">
      <c r="A944" s="116" t="s">
        <v>1002</v>
      </c>
      <c r="B944" s="432">
        <v>907</v>
      </c>
      <c r="C944" s="481" t="s">
        <v>81</v>
      </c>
      <c r="D944" s="481" t="s">
        <v>96</v>
      </c>
      <c r="E944" s="481" t="s">
        <v>165</v>
      </c>
      <c r="F944" s="481"/>
      <c r="G944" s="338">
        <f t="shared" ref="G944:H947" si="93">G945</f>
        <v>0</v>
      </c>
      <c r="H944" s="338">
        <f t="shared" si="93"/>
        <v>0</v>
      </c>
      <c r="I944" s="338" t="e">
        <f t="shared" si="88"/>
        <v>#DIV/0!</v>
      </c>
    </row>
    <row r="945" spans="1:10" ht="36.75" hidden="1" customHeight="1" x14ac:dyDescent="0.25">
      <c r="A945" s="81" t="s">
        <v>472</v>
      </c>
      <c r="B945" s="432">
        <v>907</v>
      </c>
      <c r="C945" s="481" t="s">
        <v>81</v>
      </c>
      <c r="D945" s="481" t="s">
        <v>96</v>
      </c>
      <c r="E945" s="481" t="s">
        <v>473</v>
      </c>
      <c r="F945" s="481"/>
      <c r="G945" s="338">
        <f t="shared" si="93"/>
        <v>0</v>
      </c>
      <c r="H945" s="338">
        <f t="shared" si="93"/>
        <v>0</v>
      </c>
      <c r="I945" s="338" t="e">
        <f t="shared" si="88"/>
        <v>#DIV/0!</v>
      </c>
    </row>
    <row r="946" spans="1:10" ht="32.25" hidden="1" customHeight="1" x14ac:dyDescent="0.25">
      <c r="A946" s="66" t="s">
        <v>166</v>
      </c>
      <c r="B946" s="482">
        <v>907</v>
      </c>
      <c r="C946" s="268" t="s">
        <v>81</v>
      </c>
      <c r="D946" s="268" t="s">
        <v>96</v>
      </c>
      <c r="E946" s="268" t="s">
        <v>474</v>
      </c>
      <c r="F946" s="268"/>
      <c r="G946" s="337">
        <f t="shared" si="93"/>
        <v>0</v>
      </c>
      <c r="H946" s="337">
        <f t="shared" si="93"/>
        <v>0</v>
      </c>
      <c r="I946" s="338" t="e">
        <f t="shared" si="88"/>
        <v>#DIV/0!</v>
      </c>
    </row>
    <row r="947" spans="1:10" ht="29.85" hidden="1" customHeight="1" x14ac:dyDescent="0.25">
      <c r="A947" s="335" t="s">
        <v>88</v>
      </c>
      <c r="B947" s="482">
        <v>907</v>
      </c>
      <c r="C947" s="268" t="s">
        <v>81</v>
      </c>
      <c r="D947" s="268" t="s">
        <v>96</v>
      </c>
      <c r="E947" s="268" t="s">
        <v>474</v>
      </c>
      <c r="F947" s="268" t="s">
        <v>89</v>
      </c>
      <c r="G947" s="337">
        <f t="shared" si="93"/>
        <v>0</v>
      </c>
      <c r="H947" s="337">
        <f t="shared" si="93"/>
        <v>0</v>
      </c>
      <c r="I947" s="338" t="e">
        <f t="shared" si="88"/>
        <v>#DIV/0!</v>
      </c>
    </row>
    <row r="948" spans="1:10" ht="36.75" hidden="1" customHeight="1" x14ac:dyDescent="0.25">
      <c r="A948" s="335" t="s">
        <v>90</v>
      </c>
      <c r="B948" s="482">
        <v>907</v>
      </c>
      <c r="C948" s="268" t="s">
        <v>81</v>
      </c>
      <c r="D948" s="268" t="s">
        <v>96</v>
      </c>
      <c r="E948" s="268" t="s">
        <v>474</v>
      </c>
      <c r="F948" s="268" t="s">
        <v>91</v>
      </c>
      <c r="G948" s="337">
        <v>0</v>
      </c>
      <c r="H948" s="337">
        <v>0</v>
      </c>
      <c r="I948" s="338" t="e">
        <f t="shared" si="88"/>
        <v>#DIV/0!</v>
      </c>
    </row>
    <row r="949" spans="1:10" ht="63" x14ac:dyDescent="0.25">
      <c r="A949" s="130" t="s">
        <v>899</v>
      </c>
      <c r="B949" s="432">
        <v>907</v>
      </c>
      <c r="C949" s="488" t="s">
        <v>81</v>
      </c>
      <c r="D949" s="488" t="s">
        <v>96</v>
      </c>
      <c r="E949" s="398" t="s">
        <v>291</v>
      </c>
      <c r="F949" s="488"/>
      <c r="G949" s="338">
        <f t="shared" ref="G949:H952" si="94">G950</f>
        <v>40</v>
      </c>
      <c r="H949" s="338">
        <f t="shared" si="94"/>
        <v>40</v>
      </c>
      <c r="I949" s="338">
        <f t="shared" si="88"/>
        <v>100</v>
      </c>
    </row>
    <row r="950" spans="1:10" ht="47.25" x14ac:dyDescent="0.25">
      <c r="A950" s="81" t="s">
        <v>317</v>
      </c>
      <c r="B950" s="432">
        <v>907</v>
      </c>
      <c r="C950" s="488" t="s">
        <v>81</v>
      </c>
      <c r="D950" s="488" t="s">
        <v>96</v>
      </c>
      <c r="E950" s="398" t="s">
        <v>491</v>
      </c>
      <c r="F950" s="488"/>
      <c r="G950" s="338">
        <f t="shared" si="94"/>
        <v>40</v>
      </c>
      <c r="H950" s="338">
        <f t="shared" si="94"/>
        <v>40</v>
      </c>
      <c r="I950" s="338">
        <f t="shared" si="88"/>
        <v>100</v>
      </c>
    </row>
    <row r="951" spans="1:10" ht="31.5" x14ac:dyDescent="0.25">
      <c r="A951" s="66" t="s">
        <v>108</v>
      </c>
      <c r="B951" s="482">
        <v>907</v>
      </c>
      <c r="C951" s="489" t="s">
        <v>81</v>
      </c>
      <c r="D951" s="489" t="s">
        <v>96</v>
      </c>
      <c r="E951" s="399" t="s">
        <v>318</v>
      </c>
      <c r="F951" s="489"/>
      <c r="G951" s="337">
        <f t="shared" si="94"/>
        <v>40</v>
      </c>
      <c r="H951" s="337">
        <f t="shared" si="94"/>
        <v>40</v>
      </c>
      <c r="I951" s="337">
        <f t="shared" si="88"/>
        <v>100</v>
      </c>
    </row>
    <row r="952" spans="1:10" ht="31.5" x14ac:dyDescent="0.25">
      <c r="A952" s="335" t="s">
        <v>88</v>
      </c>
      <c r="B952" s="482">
        <v>907</v>
      </c>
      <c r="C952" s="489" t="s">
        <v>81</v>
      </c>
      <c r="D952" s="489" t="s">
        <v>96</v>
      </c>
      <c r="E952" s="399" t="s">
        <v>318</v>
      </c>
      <c r="F952" s="489" t="s">
        <v>89</v>
      </c>
      <c r="G952" s="337">
        <f t="shared" si="94"/>
        <v>40</v>
      </c>
      <c r="H952" s="337">
        <f t="shared" si="94"/>
        <v>40</v>
      </c>
      <c r="I952" s="337">
        <f t="shared" si="88"/>
        <v>100</v>
      </c>
    </row>
    <row r="953" spans="1:10" ht="31.5" x14ac:dyDescent="0.25">
      <c r="A953" s="335" t="s">
        <v>90</v>
      </c>
      <c r="B953" s="482">
        <v>907</v>
      </c>
      <c r="C953" s="489" t="s">
        <v>81</v>
      </c>
      <c r="D953" s="489" t="s">
        <v>96</v>
      </c>
      <c r="E953" s="399" t="s">
        <v>318</v>
      </c>
      <c r="F953" s="489" t="s">
        <v>91</v>
      </c>
      <c r="G953" s="337">
        <v>40</v>
      </c>
      <c r="H953" s="337">
        <v>40</v>
      </c>
      <c r="I953" s="337">
        <f t="shared" si="88"/>
        <v>100</v>
      </c>
    </row>
    <row r="954" spans="1:10" ht="35.25" customHeight="1" x14ac:dyDescent="0.25">
      <c r="A954" s="116" t="s">
        <v>1009</v>
      </c>
      <c r="B954" s="432">
        <v>907</v>
      </c>
      <c r="C954" s="481" t="s">
        <v>145</v>
      </c>
      <c r="D954" s="481" t="s">
        <v>145</v>
      </c>
      <c r="E954" s="268"/>
      <c r="F954" s="268"/>
      <c r="G954" s="338">
        <f t="shared" ref="G954:H959" si="95">G955</f>
        <v>258.42788999999999</v>
      </c>
      <c r="H954" s="338">
        <f t="shared" si="95"/>
        <v>258.42788999999999</v>
      </c>
      <c r="I954" s="338">
        <f t="shared" si="88"/>
        <v>100</v>
      </c>
    </row>
    <row r="955" spans="1:10" ht="47.25" x14ac:dyDescent="0.25">
      <c r="A955" s="116" t="s">
        <v>882</v>
      </c>
      <c r="B955" s="432">
        <v>907</v>
      </c>
      <c r="C955" s="481" t="s">
        <v>145</v>
      </c>
      <c r="D955" s="481" t="s">
        <v>145</v>
      </c>
      <c r="E955" s="481" t="s">
        <v>169</v>
      </c>
      <c r="F955" s="481"/>
      <c r="G955" s="338">
        <f t="shared" si="95"/>
        <v>258.42788999999999</v>
      </c>
      <c r="H955" s="338">
        <f t="shared" si="95"/>
        <v>258.42788999999999</v>
      </c>
      <c r="I955" s="338">
        <f t="shared" si="88"/>
        <v>100</v>
      </c>
    </row>
    <row r="956" spans="1:10" ht="31.5" x14ac:dyDescent="0.25">
      <c r="A956" s="116" t="s">
        <v>170</v>
      </c>
      <c r="B956" s="432">
        <v>907</v>
      </c>
      <c r="C956" s="481" t="s">
        <v>145</v>
      </c>
      <c r="D956" s="481" t="s">
        <v>145</v>
      </c>
      <c r="E956" s="481" t="s">
        <v>171</v>
      </c>
      <c r="F956" s="481"/>
      <c r="G956" s="338">
        <f t="shared" si="95"/>
        <v>258.42788999999999</v>
      </c>
      <c r="H956" s="338">
        <f t="shared" si="95"/>
        <v>258.42788999999999</v>
      </c>
      <c r="I956" s="338">
        <f t="shared" si="88"/>
        <v>100</v>
      </c>
    </row>
    <row r="957" spans="1:10" ht="47.25" x14ac:dyDescent="0.25">
      <c r="A957" s="30" t="s">
        <v>454</v>
      </c>
      <c r="B957" s="432">
        <v>907</v>
      </c>
      <c r="C957" s="481" t="s">
        <v>145</v>
      </c>
      <c r="D957" s="481" t="s">
        <v>145</v>
      </c>
      <c r="E957" s="481" t="s">
        <v>343</v>
      </c>
      <c r="F957" s="481"/>
      <c r="G957" s="338">
        <f t="shared" si="95"/>
        <v>258.42788999999999</v>
      </c>
      <c r="H957" s="338">
        <f t="shared" si="95"/>
        <v>258.42788999999999</v>
      </c>
      <c r="I957" s="338">
        <f t="shared" si="88"/>
        <v>100</v>
      </c>
    </row>
    <row r="958" spans="1:10" ht="31.5" x14ac:dyDescent="0.25">
      <c r="A958" s="335" t="s">
        <v>821</v>
      </c>
      <c r="B958" s="482">
        <v>907</v>
      </c>
      <c r="C958" s="268" t="s">
        <v>145</v>
      </c>
      <c r="D958" s="268" t="s">
        <v>145</v>
      </c>
      <c r="E958" s="268" t="s">
        <v>822</v>
      </c>
      <c r="F958" s="268"/>
      <c r="G958" s="337">
        <f t="shared" si="95"/>
        <v>258.42788999999999</v>
      </c>
      <c r="H958" s="337">
        <f t="shared" si="95"/>
        <v>258.42788999999999</v>
      </c>
      <c r="I958" s="337">
        <f t="shared" si="88"/>
        <v>100</v>
      </c>
    </row>
    <row r="959" spans="1:10" ht="37.5" customHeight="1" x14ac:dyDescent="0.25">
      <c r="A959" s="335" t="s">
        <v>149</v>
      </c>
      <c r="B959" s="482">
        <v>907</v>
      </c>
      <c r="C959" s="268" t="s">
        <v>145</v>
      </c>
      <c r="D959" s="268" t="s">
        <v>145</v>
      </c>
      <c r="E959" s="268" t="s">
        <v>822</v>
      </c>
      <c r="F959" s="268" t="s">
        <v>150</v>
      </c>
      <c r="G959" s="337">
        <f t="shared" si="95"/>
        <v>258.42788999999999</v>
      </c>
      <c r="H959" s="337">
        <f t="shared" si="95"/>
        <v>258.42788999999999</v>
      </c>
      <c r="I959" s="337">
        <f t="shared" si="88"/>
        <v>100</v>
      </c>
    </row>
    <row r="960" spans="1:10" ht="30" customHeight="1" x14ac:dyDescent="0.25">
      <c r="A960" s="335" t="s">
        <v>151</v>
      </c>
      <c r="B960" s="482">
        <v>907</v>
      </c>
      <c r="C960" s="268" t="s">
        <v>145</v>
      </c>
      <c r="D960" s="268" t="s">
        <v>145</v>
      </c>
      <c r="E960" s="268" t="s">
        <v>822</v>
      </c>
      <c r="F960" s="268" t="s">
        <v>152</v>
      </c>
      <c r="G960" s="337">
        <f>129.85206+187.3542-39.34396-11.88187-5.80072-1.75182</f>
        <v>258.42788999999999</v>
      </c>
      <c r="H960" s="337">
        <v>258.42788999999999</v>
      </c>
      <c r="I960" s="337">
        <f t="shared" si="88"/>
        <v>100</v>
      </c>
      <c r="J960" s="341"/>
    </row>
    <row r="961" spans="1:10" ht="15.75" x14ac:dyDescent="0.25">
      <c r="A961" s="116" t="s">
        <v>196</v>
      </c>
      <c r="B961" s="432">
        <v>907</v>
      </c>
      <c r="C961" s="481" t="s">
        <v>197</v>
      </c>
      <c r="D961" s="268"/>
      <c r="E961" s="268"/>
      <c r="F961" s="268"/>
      <c r="G961" s="338">
        <f>G962+G1051+G1019</f>
        <v>88927.747149999981</v>
      </c>
      <c r="H961" s="338">
        <f>H962+H1051+H1019</f>
        <v>85495.869489999997</v>
      </c>
      <c r="I961" s="338">
        <f t="shared" si="88"/>
        <v>96.140824691970181</v>
      </c>
    </row>
    <row r="962" spans="1:10" ht="15.75" x14ac:dyDescent="0.25">
      <c r="A962" s="116" t="s">
        <v>198</v>
      </c>
      <c r="B962" s="432">
        <v>907</v>
      </c>
      <c r="C962" s="481" t="s">
        <v>197</v>
      </c>
      <c r="D962" s="481" t="s">
        <v>81</v>
      </c>
      <c r="E962" s="268"/>
      <c r="F962" s="268"/>
      <c r="G962" s="338">
        <f>G963+G1009+G1014</f>
        <v>49747.441759999987</v>
      </c>
      <c r="H962" s="338">
        <f>H963+H1009+H1014</f>
        <v>46360.78325</v>
      </c>
      <c r="I962" s="338">
        <f t="shared" si="88"/>
        <v>93.192296145923493</v>
      </c>
    </row>
    <row r="963" spans="1:10" ht="47.25" x14ac:dyDescent="0.25">
      <c r="A963" s="116" t="s">
        <v>888</v>
      </c>
      <c r="B963" s="432">
        <v>907</v>
      </c>
      <c r="C963" s="481" t="s">
        <v>197</v>
      </c>
      <c r="D963" s="481" t="s">
        <v>81</v>
      </c>
      <c r="E963" s="481" t="s">
        <v>195</v>
      </c>
      <c r="F963" s="481"/>
      <c r="G963" s="338">
        <f>G964+G974+G990+G997+G1001+G1005</f>
        <v>49117.341759999988</v>
      </c>
      <c r="H963" s="338">
        <f>H964+H974+H990+H997+H1001+H1005</f>
        <v>45730.683250000002</v>
      </c>
      <c r="I963" s="338">
        <f t="shared" si="88"/>
        <v>93.104963769114221</v>
      </c>
    </row>
    <row r="964" spans="1:10" ht="31.5" x14ac:dyDescent="0.25">
      <c r="A964" s="116" t="s">
        <v>375</v>
      </c>
      <c r="B964" s="432">
        <v>907</v>
      </c>
      <c r="C964" s="481" t="s">
        <v>197</v>
      </c>
      <c r="D964" s="481" t="s">
        <v>81</v>
      </c>
      <c r="E964" s="481" t="s">
        <v>599</v>
      </c>
      <c r="F964" s="481"/>
      <c r="G964" s="338">
        <f>G965+G971+G968</f>
        <v>40354.130059999989</v>
      </c>
      <c r="H964" s="338">
        <f>H965+H971+H968</f>
        <v>38363.068259999993</v>
      </c>
      <c r="I964" s="338">
        <f t="shared" si="88"/>
        <v>95.066027202074196</v>
      </c>
    </row>
    <row r="965" spans="1:10" ht="31.5" x14ac:dyDescent="0.25">
      <c r="A965" s="335" t="s">
        <v>199</v>
      </c>
      <c r="B965" s="482">
        <v>907</v>
      </c>
      <c r="C965" s="268" t="s">
        <v>197</v>
      </c>
      <c r="D965" s="268" t="s">
        <v>81</v>
      </c>
      <c r="E965" s="268" t="s">
        <v>600</v>
      </c>
      <c r="F965" s="268"/>
      <c r="G965" s="337">
        <f t="shared" ref="G965:H966" si="96">G966</f>
        <v>39817.118129999995</v>
      </c>
      <c r="H965" s="337">
        <f t="shared" si="96"/>
        <v>37826.056329999999</v>
      </c>
      <c r="I965" s="337">
        <f t="shared" si="88"/>
        <v>94.999482902054027</v>
      </c>
    </row>
    <row r="966" spans="1:10" ht="36" customHeight="1" x14ac:dyDescent="0.25">
      <c r="A966" s="335" t="s">
        <v>149</v>
      </c>
      <c r="B966" s="482">
        <v>907</v>
      </c>
      <c r="C966" s="268" t="s">
        <v>197</v>
      </c>
      <c r="D966" s="268" t="s">
        <v>81</v>
      </c>
      <c r="E966" s="268" t="s">
        <v>600</v>
      </c>
      <c r="F966" s="268" t="s">
        <v>150</v>
      </c>
      <c r="G966" s="337">
        <f t="shared" si="96"/>
        <v>39817.118129999995</v>
      </c>
      <c r="H966" s="337">
        <f t="shared" si="96"/>
        <v>37826.056329999999</v>
      </c>
      <c r="I966" s="337">
        <f t="shared" si="88"/>
        <v>94.999482902054027</v>
      </c>
    </row>
    <row r="967" spans="1:10" ht="30" customHeight="1" x14ac:dyDescent="0.25">
      <c r="A967" s="335" t="s">
        <v>151</v>
      </c>
      <c r="B967" s="482">
        <v>907</v>
      </c>
      <c r="C967" s="268" t="s">
        <v>197</v>
      </c>
      <c r="D967" s="268" t="s">
        <v>81</v>
      </c>
      <c r="E967" s="268" t="s">
        <v>600</v>
      </c>
      <c r="F967" s="268" t="s">
        <v>152</v>
      </c>
      <c r="G967" s="271">
        <f>39000.2+126.5+28+128.4-261.35-187.3542-204.9-859.1808+895.3+15.10663+1531.3+462.45+255.274-137.90144-904.22573+428.72719+74.97208-15.35464+36.92931-595.77427</f>
        <v>39817.118129999995</v>
      </c>
      <c r="H967" s="271">
        <v>37826.056329999999</v>
      </c>
      <c r="I967" s="337">
        <f t="shared" si="88"/>
        <v>94.999482902054027</v>
      </c>
      <c r="J967" s="341"/>
    </row>
    <row r="968" spans="1:10" ht="31.5" x14ac:dyDescent="0.25">
      <c r="A968" s="335" t="s">
        <v>1118</v>
      </c>
      <c r="B968" s="482">
        <v>907</v>
      </c>
      <c r="C968" s="268" t="s">
        <v>197</v>
      </c>
      <c r="D968" s="268" t="s">
        <v>81</v>
      </c>
      <c r="E968" s="268" t="s">
        <v>1123</v>
      </c>
      <c r="F968" s="268"/>
      <c r="G968" s="271">
        <f>G969</f>
        <v>521.52</v>
      </c>
      <c r="H968" s="271">
        <f>H969</f>
        <v>521.52</v>
      </c>
      <c r="I968" s="337">
        <f t="shared" si="88"/>
        <v>100</v>
      </c>
    </row>
    <row r="969" spans="1:10" ht="31.5" x14ac:dyDescent="0.25">
      <c r="A969" s="335" t="s">
        <v>149</v>
      </c>
      <c r="B969" s="482">
        <v>907</v>
      </c>
      <c r="C969" s="268" t="s">
        <v>197</v>
      </c>
      <c r="D969" s="268" t="s">
        <v>81</v>
      </c>
      <c r="E969" s="268" t="s">
        <v>1123</v>
      </c>
      <c r="F969" s="268" t="s">
        <v>150</v>
      </c>
      <c r="G969" s="271">
        <f>G970</f>
        <v>521.52</v>
      </c>
      <c r="H969" s="271">
        <f>H970</f>
        <v>521.52</v>
      </c>
      <c r="I969" s="337">
        <f t="shared" si="88"/>
        <v>100</v>
      </c>
    </row>
    <row r="970" spans="1:10" ht="15.75" x14ac:dyDescent="0.25">
      <c r="A970" s="335" t="s">
        <v>151</v>
      </c>
      <c r="B970" s="482">
        <v>907</v>
      </c>
      <c r="C970" s="268" t="s">
        <v>197</v>
      </c>
      <c r="D970" s="268" t="s">
        <v>81</v>
      </c>
      <c r="E970" s="268" t="s">
        <v>1123</v>
      </c>
      <c r="F970" s="268" t="s">
        <v>152</v>
      </c>
      <c r="G970" s="271">
        <f>180.45+54.5+220.1+66.47</f>
        <v>521.52</v>
      </c>
      <c r="H970" s="271">
        <v>521.52</v>
      </c>
      <c r="I970" s="337">
        <f t="shared" si="88"/>
        <v>100</v>
      </c>
    </row>
    <row r="971" spans="1:10" ht="47.25" x14ac:dyDescent="0.25">
      <c r="A971" s="335" t="s">
        <v>1107</v>
      </c>
      <c r="B971" s="482">
        <v>907</v>
      </c>
      <c r="C971" s="268" t="s">
        <v>197</v>
      </c>
      <c r="D971" s="268" t="s">
        <v>81</v>
      </c>
      <c r="E971" s="268" t="s">
        <v>1113</v>
      </c>
      <c r="F971" s="268"/>
      <c r="G971" s="271">
        <f>G972</f>
        <v>15.49193</v>
      </c>
      <c r="H971" s="271">
        <f>H972</f>
        <v>15.49193</v>
      </c>
      <c r="I971" s="337">
        <f t="shared" si="88"/>
        <v>100</v>
      </c>
      <c r="J971" s="333"/>
    </row>
    <row r="972" spans="1:10" ht="39.75" customHeight="1" x14ac:dyDescent="0.25">
      <c r="A972" s="335" t="s">
        <v>149</v>
      </c>
      <c r="B972" s="482">
        <v>907</v>
      </c>
      <c r="C972" s="268" t="s">
        <v>197</v>
      </c>
      <c r="D972" s="268" t="s">
        <v>81</v>
      </c>
      <c r="E972" s="268" t="s">
        <v>1113</v>
      </c>
      <c r="F972" s="268" t="s">
        <v>150</v>
      </c>
      <c r="G972" s="271">
        <f>G973</f>
        <v>15.49193</v>
      </c>
      <c r="H972" s="271">
        <f>H973</f>
        <v>15.49193</v>
      </c>
      <c r="I972" s="337">
        <f t="shared" ref="I972:I1035" si="97">H972/G972*100</f>
        <v>100</v>
      </c>
      <c r="J972" s="333"/>
    </row>
    <row r="973" spans="1:10" ht="15.75" x14ac:dyDescent="0.25">
      <c r="A973" s="335" t="s">
        <v>151</v>
      </c>
      <c r="B973" s="482">
        <v>907</v>
      </c>
      <c r="C973" s="268" t="s">
        <v>197</v>
      </c>
      <c r="D973" s="268" t="s">
        <v>81</v>
      </c>
      <c r="E973" s="268" t="s">
        <v>1113</v>
      </c>
      <c r="F973" s="268" t="s">
        <v>152</v>
      </c>
      <c r="G973" s="271">
        <f>12.00925+3.48268</f>
        <v>15.49193</v>
      </c>
      <c r="H973" s="271">
        <v>15.49193</v>
      </c>
      <c r="I973" s="337">
        <f t="shared" si="97"/>
        <v>100</v>
      </c>
    </row>
    <row r="974" spans="1:10" ht="16.5" customHeight="1" x14ac:dyDescent="0.25">
      <c r="A974" s="116" t="s">
        <v>379</v>
      </c>
      <c r="B974" s="432">
        <v>907</v>
      </c>
      <c r="C974" s="481" t="s">
        <v>197</v>
      </c>
      <c r="D974" s="481" t="s">
        <v>81</v>
      </c>
      <c r="E974" s="481" t="s">
        <v>601</v>
      </c>
      <c r="F974" s="481"/>
      <c r="G974" s="273">
        <f>G975+G978+G981+G984+G987</f>
        <v>461.18200000000002</v>
      </c>
      <c r="H974" s="273">
        <f>H975+H978+H981+H984+H987</f>
        <v>461.17100000000005</v>
      </c>
      <c r="I974" s="338">
        <f t="shared" si="97"/>
        <v>99.997614824516148</v>
      </c>
    </row>
    <row r="975" spans="1:10" ht="31.7" customHeight="1" x14ac:dyDescent="0.25">
      <c r="A975" s="335" t="s">
        <v>153</v>
      </c>
      <c r="B975" s="482">
        <v>907</v>
      </c>
      <c r="C975" s="268" t="s">
        <v>197</v>
      </c>
      <c r="D975" s="268" t="s">
        <v>81</v>
      </c>
      <c r="E975" s="268" t="s">
        <v>635</v>
      </c>
      <c r="F975" s="268"/>
      <c r="G975" s="337">
        <f>G976</f>
        <v>261.35000000000002</v>
      </c>
      <c r="H975" s="337">
        <f>H976</f>
        <v>261.35000000000002</v>
      </c>
      <c r="I975" s="337">
        <f t="shared" si="97"/>
        <v>100</v>
      </c>
    </row>
    <row r="976" spans="1:10" ht="31.7" customHeight="1" x14ac:dyDescent="0.25">
      <c r="A976" s="335" t="s">
        <v>149</v>
      </c>
      <c r="B976" s="482">
        <v>907</v>
      </c>
      <c r="C976" s="268" t="s">
        <v>197</v>
      </c>
      <c r="D976" s="268" t="s">
        <v>81</v>
      </c>
      <c r="E976" s="268" t="s">
        <v>635</v>
      </c>
      <c r="F976" s="268" t="s">
        <v>150</v>
      </c>
      <c r="G976" s="337">
        <f>G977</f>
        <v>261.35000000000002</v>
      </c>
      <c r="H976" s="337">
        <f>H977</f>
        <v>261.35000000000002</v>
      </c>
      <c r="I976" s="337">
        <f t="shared" si="97"/>
        <v>100</v>
      </c>
    </row>
    <row r="977" spans="1:10" ht="15.75" x14ac:dyDescent="0.25">
      <c r="A977" s="335" t="s">
        <v>151</v>
      </c>
      <c r="B977" s="482">
        <v>907</v>
      </c>
      <c r="C977" s="268" t="s">
        <v>197</v>
      </c>
      <c r="D977" s="268" t="s">
        <v>81</v>
      </c>
      <c r="E977" s="268" t="s">
        <v>635</v>
      </c>
      <c r="F977" s="268" t="s">
        <v>152</v>
      </c>
      <c r="G977" s="337">
        <v>261.35000000000002</v>
      </c>
      <c r="H977" s="337">
        <v>261.35000000000002</v>
      </c>
      <c r="I977" s="337">
        <f t="shared" si="97"/>
        <v>100</v>
      </c>
      <c r="J977" s="285"/>
    </row>
    <row r="978" spans="1:10" ht="41.25" customHeight="1" x14ac:dyDescent="0.25">
      <c r="A978" s="335" t="s">
        <v>855</v>
      </c>
      <c r="B978" s="482">
        <v>907</v>
      </c>
      <c r="C978" s="268" t="s">
        <v>197</v>
      </c>
      <c r="D978" s="268" t="s">
        <v>81</v>
      </c>
      <c r="E978" s="268" t="s">
        <v>636</v>
      </c>
      <c r="F978" s="268"/>
      <c r="G978" s="337">
        <f>G979</f>
        <v>199.83199999999999</v>
      </c>
      <c r="H978" s="337">
        <f>H979</f>
        <v>199.821</v>
      </c>
      <c r="I978" s="337">
        <f t="shared" si="97"/>
        <v>99.99449537611595</v>
      </c>
    </row>
    <row r="979" spans="1:10" ht="35.25" customHeight="1" x14ac:dyDescent="0.25">
      <c r="A979" s="335" t="s">
        <v>149</v>
      </c>
      <c r="B979" s="482">
        <v>907</v>
      </c>
      <c r="C979" s="268" t="s">
        <v>197</v>
      </c>
      <c r="D979" s="268" t="s">
        <v>81</v>
      </c>
      <c r="E979" s="268" t="s">
        <v>636</v>
      </c>
      <c r="F979" s="268" t="s">
        <v>150</v>
      </c>
      <c r="G979" s="337">
        <f>G980</f>
        <v>199.83199999999999</v>
      </c>
      <c r="H979" s="337">
        <f>H980</f>
        <v>199.821</v>
      </c>
      <c r="I979" s="337">
        <f t="shared" si="97"/>
        <v>99.99449537611595</v>
      </c>
    </row>
    <row r="980" spans="1:10" ht="26.25" customHeight="1" x14ac:dyDescent="0.25">
      <c r="A980" s="335" t="s">
        <v>151</v>
      </c>
      <c r="B980" s="482">
        <v>907</v>
      </c>
      <c r="C980" s="268" t="s">
        <v>197</v>
      </c>
      <c r="D980" s="268" t="s">
        <v>81</v>
      </c>
      <c r="E980" s="268" t="s">
        <v>636</v>
      </c>
      <c r="F980" s="268" t="s">
        <v>152</v>
      </c>
      <c r="G980" s="337">
        <f>200-0.168</f>
        <v>199.83199999999999</v>
      </c>
      <c r="H980" s="337">
        <v>199.821</v>
      </c>
      <c r="I980" s="337">
        <f t="shared" si="97"/>
        <v>99.99449537611595</v>
      </c>
      <c r="J980" s="341"/>
    </row>
    <row r="981" spans="1:10" ht="36" hidden="1" customHeight="1" x14ac:dyDescent="0.25">
      <c r="A981" s="335" t="s">
        <v>154</v>
      </c>
      <c r="B981" s="482">
        <v>907</v>
      </c>
      <c r="C981" s="268" t="s">
        <v>197</v>
      </c>
      <c r="D981" s="268" t="s">
        <v>81</v>
      </c>
      <c r="E981" s="268" t="s">
        <v>602</v>
      </c>
      <c r="F981" s="268"/>
      <c r="G981" s="337">
        <f>G982</f>
        <v>0</v>
      </c>
      <c r="H981" s="337">
        <f>H982</f>
        <v>0</v>
      </c>
      <c r="I981" s="337" t="e">
        <f t="shared" si="97"/>
        <v>#DIV/0!</v>
      </c>
    </row>
    <row r="982" spans="1:10" ht="41.25" hidden="1" customHeight="1" x14ac:dyDescent="0.25">
      <c r="A982" s="335" t="s">
        <v>149</v>
      </c>
      <c r="B982" s="482">
        <v>907</v>
      </c>
      <c r="C982" s="268" t="s">
        <v>197</v>
      </c>
      <c r="D982" s="268" t="s">
        <v>81</v>
      </c>
      <c r="E982" s="268" t="s">
        <v>602</v>
      </c>
      <c r="F982" s="268" t="s">
        <v>150</v>
      </c>
      <c r="G982" s="337">
        <f>G983</f>
        <v>0</v>
      </c>
      <c r="H982" s="337">
        <f>H983</f>
        <v>0</v>
      </c>
      <c r="I982" s="337" t="e">
        <f t="shared" si="97"/>
        <v>#DIV/0!</v>
      </c>
    </row>
    <row r="983" spans="1:10" ht="15.75" hidden="1" customHeight="1" x14ac:dyDescent="0.25">
      <c r="A983" s="335" t="s">
        <v>151</v>
      </c>
      <c r="B983" s="482">
        <v>907</v>
      </c>
      <c r="C983" s="268" t="s">
        <v>197</v>
      </c>
      <c r="D983" s="268" t="s">
        <v>81</v>
      </c>
      <c r="E983" s="268" t="s">
        <v>602</v>
      </c>
      <c r="F983" s="268" t="s">
        <v>152</v>
      </c>
      <c r="G983" s="337">
        <v>0</v>
      </c>
      <c r="H983" s="337">
        <v>0</v>
      </c>
      <c r="I983" s="337" t="e">
        <f t="shared" si="97"/>
        <v>#DIV/0!</v>
      </c>
    </row>
    <row r="984" spans="1:10" ht="33.75" hidden="1" customHeight="1" x14ac:dyDescent="0.25">
      <c r="A984" s="335" t="s">
        <v>156</v>
      </c>
      <c r="B984" s="482">
        <v>907</v>
      </c>
      <c r="C984" s="268" t="s">
        <v>197</v>
      </c>
      <c r="D984" s="268" t="s">
        <v>81</v>
      </c>
      <c r="E984" s="268" t="s">
        <v>726</v>
      </c>
      <c r="F984" s="268"/>
      <c r="G984" s="337">
        <f>G986</f>
        <v>0</v>
      </c>
      <c r="H984" s="337">
        <f>H986</f>
        <v>0</v>
      </c>
      <c r="I984" s="337" t="e">
        <f t="shared" si="97"/>
        <v>#DIV/0!</v>
      </c>
    </row>
    <row r="985" spans="1:10" ht="15.75" hidden="1" customHeight="1" x14ac:dyDescent="0.25">
      <c r="A985" s="335" t="s">
        <v>149</v>
      </c>
      <c r="B985" s="482">
        <v>907</v>
      </c>
      <c r="C985" s="268" t="s">
        <v>197</v>
      </c>
      <c r="D985" s="268" t="s">
        <v>81</v>
      </c>
      <c r="E985" s="268" t="s">
        <v>726</v>
      </c>
      <c r="F985" s="268" t="s">
        <v>150</v>
      </c>
      <c r="G985" s="337">
        <f>G986</f>
        <v>0</v>
      </c>
      <c r="H985" s="337">
        <f>H986</f>
        <v>0</v>
      </c>
      <c r="I985" s="337" t="e">
        <f t="shared" si="97"/>
        <v>#DIV/0!</v>
      </c>
    </row>
    <row r="986" spans="1:10" ht="15.75" hidden="1" customHeight="1" x14ac:dyDescent="0.25">
      <c r="A986" s="335" t="s">
        <v>151</v>
      </c>
      <c r="B986" s="482">
        <v>907</v>
      </c>
      <c r="C986" s="268" t="s">
        <v>197</v>
      </c>
      <c r="D986" s="268" t="s">
        <v>81</v>
      </c>
      <c r="E986" s="268" t="s">
        <v>726</v>
      </c>
      <c r="F986" s="268" t="s">
        <v>152</v>
      </c>
      <c r="G986" s="337"/>
      <c r="H986" s="337"/>
      <c r="I986" s="337" t="e">
        <f t="shared" si="97"/>
        <v>#DIV/0!</v>
      </c>
    </row>
    <row r="987" spans="1:10" ht="34.5" hidden="1" customHeight="1" x14ac:dyDescent="0.25">
      <c r="A987" s="335" t="s">
        <v>1074</v>
      </c>
      <c r="B987" s="482">
        <v>907</v>
      </c>
      <c r="C987" s="268" t="s">
        <v>197</v>
      </c>
      <c r="D987" s="268" t="s">
        <v>81</v>
      </c>
      <c r="E987" s="268" t="s">
        <v>1073</v>
      </c>
      <c r="F987" s="268"/>
      <c r="G987" s="337">
        <f>G988</f>
        <v>0</v>
      </c>
      <c r="H987" s="337">
        <f>H988</f>
        <v>0</v>
      </c>
      <c r="I987" s="337" t="e">
        <f t="shared" si="97"/>
        <v>#DIV/0!</v>
      </c>
    </row>
    <row r="988" spans="1:10" ht="31.5" hidden="1" customHeight="1" x14ac:dyDescent="0.25">
      <c r="A988" s="335" t="s">
        <v>149</v>
      </c>
      <c r="B988" s="482">
        <v>907</v>
      </c>
      <c r="C988" s="268" t="s">
        <v>197</v>
      </c>
      <c r="D988" s="268" t="s">
        <v>81</v>
      </c>
      <c r="E988" s="268" t="s">
        <v>1073</v>
      </c>
      <c r="F988" s="268" t="s">
        <v>150</v>
      </c>
      <c r="G988" s="337">
        <f>G989</f>
        <v>0</v>
      </c>
      <c r="H988" s="337">
        <f>H989</f>
        <v>0</v>
      </c>
      <c r="I988" s="337" t="e">
        <f t="shared" si="97"/>
        <v>#DIV/0!</v>
      </c>
    </row>
    <row r="989" spans="1:10" ht="31.5" hidden="1" customHeight="1" x14ac:dyDescent="0.25">
      <c r="A989" s="335" t="s">
        <v>151</v>
      </c>
      <c r="B989" s="482">
        <v>907</v>
      </c>
      <c r="C989" s="268" t="s">
        <v>197</v>
      </c>
      <c r="D989" s="268" t="s">
        <v>81</v>
      </c>
      <c r="E989" s="268" t="s">
        <v>1073</v>
      </c>
      <c r="F989" s="268" t="s">
        <v>152</v>
      </c>
      <c r="G989" s="337">
        <f>2300-2300</f>
        <v>0</v>
      </c>
      <c r="H989" s="337">
        <f>2300-2300</f>
        <v>0</v>
      </c>
      <c r="I989" s="337" t="e">
        <f t="shared" si="97"/>
        <v>#DIV/0!</v>
      </c>
      <c r="J989" s="331"/>
    </row>
    <row r="990" spans="1:10" ht="35.450000000000003" customHeight="1" x14ac:dyDescent="0.25">
      <c r="A990" s="116" t="s">
        <v>380</v>
      </c>
      <c r="B990" s="432">
        <v>907</v>
      </c>
      <c r="C990" s="481" t="s">
        <v>197</v>
      </c>
      <c r="D990" s="481" t="s">
        <v>81</v>
      </c>
      <c r="E990" s="481" t="s">
        <v>603</v>
      </c>
      <c r="F990" s="481"/>
      <c r="G990" s="338">
        <f>G991+G994</f>
        <v>377.62970000000001</v>
      </c>
      <c r="H990" s="338">
        <f>H991+H994</f>
        <v>371.32310000000001</v>
      </c>
      <c r="I990" s="338">
        <f t="shared" si="97"/>
        <v>98.329951272370792</v>
      </c>
    </row>
    <row r="991" spans="1:10" ht="33.75" hidden="1" customHeight="1" x14ac:dyDescent="0.25">
      <c r="A991" s="335" t="s">
        <v>276</v>
      </c>
      <c r="B991" s="482">
        <v>907</v>
      </c>
      <c r="C991" s="268" t="s">
        <v>197</v>
      </c>
      <c r="D991" s="268" t="s">
        <v>81</v>
      </c>
      <c r="E991" s="268" t="s">
        <v>625</v>
      </c>
      <c r="F991" s="268"/>
      <c r="G991" s="337">
        <f>G992</f>
        <v>0</v>
      </c>
      <c r="H991" s="337">
        <f>H992</f>
        <v>0</v>
      </c>
      <c r="I991" s="337" t="e">
        <f t="shared" si="97"/>
        <v>#DIV/0!</v>
      </c>
    </row>
    <row r="992" spans="1:10" ht="31.5" hidden="1" x14ac:dyDescent="0.25">
      <c r="A992" s="335" t="s">
        <v>149</v>
      </c>
      <c r="B992" s="482">
        <v>907</v>
      </c>
      <c r="C992" s="268" t="s">
        <v>197</v>
      </c>
      <c r="D992" s="268" t="s">
        <v>81</v>
      </c>
      <c r="E992" s="268" t="s">
        <v>625</v>
      </c>
      <c r="F992" s="268" t="s">
        <v>150</v>
      </c>
      <c r="G992" s="337">
        <f>G993</f>
        <v>0</v>
      </c>
      <c r="H992" s="337">
        <f>H993</f>
        <v>0</v>
      </c>
      <c r="I992" s="337" t="e">
        <f t="shared" si="97"/>
        <v>#DIV/0!</v>
      </c>
    </row>
    <row r="993" spans="1:10" ht="15.75" hidden="1" customHeight="1" x14ac:dyDescent="0.25">
      <c r="A993" s="335" t="s">
        <v>151</v>
      </c>
      <c r="B993" s="482">
        <v>907</v>
      </c>
      <c r="C993" s="268" t="s">
        <v>197</v>
      </c>
      <c r="D993" s="268" t="s">
        <v>81</v>
      </c>
      <c r="E993" s="268" t="s">
        <v>625</v>
      </c>
      <c r="F993" s="268" t="s">
        <v>152</v>
      </c>
      <c r="G993" s="337"/>
      <c r="H993" s="337"/>
      <c r="I993" s="337" t="e">
        <f t="shared" si="97"/>
        <v>#DIV/0!</v>
      </c>
    </row>
    <row r="994" spans="1:10" ht="34.5" customHeight="1" x14ac:dyDescent="0.25">
      <c r="A994" s="26" t="s">
        <v>261</v>
      </c>
      <c r="B994" s="482">
        <v>907</v>
      </c>
      <c r="C994" s="268" t="s">
        <v>197</v>
      </c>
      <c r="D994" s="268" t="s">
        <v>81</v>
      </c>
      <c r="E994" s="268" t="s">
        <v>604</v>
      </c>
      <c r="F994" s="268"/>
      <c r="G994" s="337">
        <f>G995</f>
        <v>377.62970000000001</v>
      </c>
      <c r="H994" s="337">
        <f>H995</f>
        <v>371.32310000000001</v>
      </c>
      <c r="I994" s="337">
        <f t="shared" si="97"/>
        <v>98.329951272370792</v>
      </c>
    </row>
    <row r="995" spans="1:10" ht="33" customHeight="1" x14ac:dyDescent="0.25">
      <c r="A995" s="20" t="s">
        <v>149</v>
      </c>
      <c r="B995" s="482">
        <v>907</v>
      </c>
      <c r="C995" s="268" t="s">
        <v>197</v>
      </c>
      <c r="D995" s="268" t="s">
        <v>81</v>
      </c>
      <c r="E995" s="268" t="s">
        <v>604</v>
      </c>
      <c r="F995" s="268" t="s">
        <v>150</v>
      </c>
      <c r="G995" s="337">
        <f>G996</f>
        <v>377.62970000000001</v>
      </c>
      <c r="H995" s="337">
        <f>H996</f>
        <v>371.32310000000001</v>
      </c>
      <c r="I995" s="337">
        <f t="shared" si="97"/>
        <v>98.329951272370792</v>
      </c>
    </row>
    <row r="996" spans="1:10" ht="20.25" customHeight="1" x14ac:dyDescent="0.25">
      <c r="A996" s="20" t="s">
        <v>151</v>
      </c>
      <c r="B996" s="482">
        <v>907</v>
      </c>
      <c r="C996" s="268" t="s">
        <v>197</v>
      </c>
      <c r="D996" s="268" t="s">
        <v>81</v>
      </c>
      <c r="E996" s="268" t="s">
        <v>604</v>
      </c>
      <c r="F996" s="268" t="s">
        <v>152</v>
      </c>
      <c r="G996" s="337">
        <f>774-120.7143-275.656</f>
        <v>377.62970000000001</v>
      </c>
      <c r="H996" s="337">
        <v>371.32310000000001</v>
      </c>
      <c r="I996" s="337">
        <f t="shared" si="97"/>
        <v>98.329951272370792</v>
      </c>
    </row>
    <row r="997" spans="1:10" ht="50.25" customHeight="1" x14ac:dyDescent="0.25">
      <c r="A997" s="116" t="s">
        <v>349</v>
      </c>
      <c r="B997" s="432">
        <v>907</v>
      </c>
      <c r="C997" s="481" t="s">
        <v>197</v>
      </c>
      <c r="D997" s="481" t="s">
        <v>81</v>
      </c>
      <c r="E997" s="481" t="s">
        <v>605</v>
      </c>
      <c r="F997" s="481"/>
      <c r="G997" s="338">
        <f t="shared" ref="G997:H999" si="98">G998</f>
        <v>417.5</v>
      </c>
      <c r="H997" s="338">
        <f t="shared" si="98"/>
        <v>360.31027</v>
      </c>
      <c r="I997" s="338">
        <f t="shared" si="97"/>
        <v>86.301861077844308</v>
      </c>
    </row>
    <row r="998" spans="1:10" ht="47.25" x14ac:dyDescent="0.25">
      <c r="A998" s="335" t="s">
        <v>852</v>
      </c>
      <c r="B998" s="482">
        <v>907</v>
      </c>
      <c r="C998" s="268" t="s">
        <v>197</v>
      </c>
      <c r="D998" s="268" t="s">
        <v>81</v>
      </c>
      <c r="E998" s="268" t="s">
        <v>859</v>
      </c>
      <c r="F998" s="268"/>
      <c r="G998" s="337">
        <f t="shared" si="98"/>
        <v>417.5</v>
      </c>
      <c r="H998" s="337">
        <f t="shared" si="98"/>
        <v>360.31027</v>
      </c>
      <c r="I998" s="337">
        <f t="shared" si="97"/>
        <v>86.301861077844308</v>
      </c>
    </row>
    <row r="999" spans="1:10" ht="31.5" x14ac:dyDescent="0.25">
      <c r="A999" s="335" t="s">
        <v>149</v>
      </c>
      <c r="B999" s="482">
        <v>907</v>
      </c>
      <c r="C999" s="268" t="s">
        <v>197</v>
      </c>
      <c r="D999" s="268" t="s">
        <v>81</v>
      </c>
      <c r="E999" s="268" t="s">
        <v>859</v>
      </c>
      <c r="F999" s="268" t="s">
        <v>150</v>
      </c>
      <c r="G999" s="337">
        <f t="shared" si="98"/>
        <v>417.5</v>
      </c>
      <c r="H999" s="337">
        <f t="shared" si="98"/>
        <v>360.31027</v>
      </c>
      <c r="I999" s="337">
        <f t="shared" si="97"/>
        <v>86.301861077844308</v>
      </c>
    </row>
    <row r="1000" spans="1:10" ht="15.75" x14ac:dyDescent="0.25">
      <c r="A1000" s="335" t="s">
        <v>151</v>
      </c>
      <c r="B1000" s="482">
        <v>907</v>
      </c>
      <c r="C1000" s="268" t="s">
        <v>197</v>
      </c>
      <c r="D1000" s="268" t="s">
        <v>81</v>
      </c>
      <c r="E1000" s="268" t="s">
        <v>859</v>
      </c>
      <c r="F1000" s="268" t="s">
        <v>152</v>
      </c>
      <c r="G1000" s="337">
        <f>554.5-137</f>
        <v>417.5</v>
      </c>
      <c r="H1000" s="337">
        <v>360.31027</v>
      </c>
      <c r="I1000" s="337">
        <f t="shared" si="97"/>
        <v>86.301861077844308</v>
      </c>
    </row>
    <row r="1001" spans="1:10" ht="47.25" customHeight="1" x14ac:dyDescent="0.25">
      <c r="A1001" s="116" t="s">
        <v>716</v>
      </c>
      <c r="B1001" s="432">
        <v>907</v>
      </c>
      <c r="C1001" s="481" t="s">
        <v>197</v>
      </c>
      <c r="D1001" s="481" t="s">
        <v>81</v>
      </c>
      <c r="E1001" s="481" t="s">
        <v>714</v>
      </c>
      <c r="F1001" s="481"/>
      <c r="G1001" s="338">
        <f t="shared" ref="G1001:H1002" si="99">G1002</f>
        <v>7506.9</v>
      </c>
      <c r="H1001" s="338">
        <f t="shared" si="99"/>
        <v>6174.8106200000002</v>
      </c>
      <c r="I1001" s="338">
        <f t="shared" si="97"/>
        <v>82.255133543806366</v>
      </c>
    </row>
    <row r="1002" spans="1:10" ht="31.5" x14ac:dyDescent="0.25">
      <c r="A1002" s="20" t="s">
        <v>860</v>
      </c>
      <c r="B1002" s="482">
        <v>907</v>
      </c>
      <c r="C1002" s="268" t="s">
        <v>197</v>
      </c>
      <c r="D1002" s="268" t="s">
        <v>81</v>
      </c>
      <c r="E1002" s="268" t="s">
        <v>715</v>
      </c>
      <c r="F1002" s="268"/>
      <c r="G1002" s="337">
        <f t="shared" si="99"/>
        <v>7506.9</v>
      </c>
      <c r="H1002" s="337">
        <f t="shared" si="99"/>
        <v>6174.8106200000002</v>
      </c>
      <c r="I1002" s="337">
        <f t="shared" si="97"/>
        <v>82.255133543806366</v>
      </c>
    </row>
    <row r="1003" spans="1:10" ht="32.25" customHeight="1" x14ac:dyDescent="0.25">
      <c r="A1003" s="335" t="s">
        <v>149</v>
      </c>
      <c r="B1003" s="482">
        <v>907</v>
      </c>
      <c r="C1003" s="268" t="s">
        <v>197</v>
      </c>
      <c r="D1003" s="268" t="s">
        <v>81</v>
      </c>
      <c r="E1003" s="268" t="s">
        <v>715</v>
      </c>
      <c r="F1003" s="268" t="s">
        <v>150</v>
      </c>
      <c r="G1003" s="337">
        <f>G1004</f>
        <v>7506.9</v>
      </c>
      <c r="H1003" s="337">
        <f>H1004</f>
        <v>6174.8106200000002</v>
      </c>
      <c r="I1003" s="337">
        <f t="shared" si="97"/>
        <v>82.255133543806366</v>
      </c>
      <c r="J1003" s="330"/>
    </row>
    <row r="1004" spans="1:10" ht="15.75" x14ac:dyDescent="0.25">
      <c r="A1004" s="335" t="s">
        <v>151</v>
      </c>
      <c r="B1004" s="482">
        <v>907</v>
      </c>
      <c r="C1004" s="268" t="s">
        <v>197</v>
      </c>
      <c r="D1004" s="268" t="s">
        <v>81</v>
      </c>
      <c r="E1004" s="268" t="s">
        <v>715</v>
      </c>
      <c r="F1004" s="268" t="s">
        <v>152</v>
      </c>
      <c r="G1004" s="337">
        <f>5650.33+1856.57</f>
        <v>7506.9</v>
      </c>
      <c r="H1004" s="337">
        <v>6174.8106200000002</v>
      </c>
      <c r="I1004" s="337">
        <f t="shared" si="97"/>
        <v>82.255133543806366</v>
      </c>
      <c r="J1004" s="285"/>
    </row>
    <row r="1005" spans="1:10" ht="31.5" hidden="1" x14ac:dyDescent="0.25">
      <c r="A1005" s="130" t="s">
        <v>750</v>
      </c>
      <c r="B1005" s="432">
        <v>907</v>
      </c>
      <c r="C1005" s="481" t="s">
        <v>197</v>
      </c>
      <c r="D1005" s="481" t="s">
        <v>81</v>
      </c>
      <c r="E1005" s="481" t="s">
        <v>751</v>
      </c>
      <c r="F1005" s="481"/>
      <c r="G1005" s="338">
        <f t="shared" ref="G1005:H1007" si="100">G1006</f>
        <v>0</v>
      </c>
      <c r="H1005" s="338">
        <f t="shared" si="100"/>
        <v>0</v>
      </c>
      <c r="I1005" s="337" t="e">
        <f t="shared" si="97"/>
        <v>#DIV/0!</v>
      </c>
      <c r="J1005" s="330"/>
    </row>
    <row r="1006" spans="1:10" ht="31.5" hidden="1" x14ac:dyDescent="0.25">
      <c r="A1006" s="19" t="s">
        <v>753</v>
      </c>
      <c r="B1006" s="482">
        <v>907</v>
      </c>
      <c r="C1006" s="268" t="s">
        <v>197</v>
      </c>
      <c r="D1006" s="268" t="s">
        <v>81</v>
      </c>
      <c r="E1006" s="268" t="s">
        <v>752</v>
      </c>
      <c r="F1006" s="268"/>
      <c r="G1006" s="337">
        <f t="shared" si="100"/>
        <v>0</v>
      </c>
      <c r="H1006" s="337">
        <f t="shared" si="100"/>
        <v>0</v>
      </c>
      <c r="I1006" s="337" t="e">
        <f t="shared" si="97"/>
        <v>#DIV/0!</v>
      </c>
      <c r="J1006" s="330"/>
    </row>
    <row r="1007" spans="1:10" ht="31.5" hidden="1" x14ac:dyDescent="0.25">
      <c r="A1007" s="335" t="s">
        <v>149</v>
      </c>
      <c r="B1007" s="482">
        <v>907</v>
      </c>
      <c r="C1007" s="268" t="s">
        <v>197</v>
      </c>
      <c r="D1007" s="268" t="s">
        <v>81</v>
      </c>
      <c r="E1007" s="268" t="s">
        <v>752</v>
      </c>
      <c r="F1007" s="268" t="s">
        <v>150</v>
      </c>
      <c r="G1007" s="337">
        <f t="shared" si="100"/>
        <v>0</v>
      </c>
      <c r="H1007" s="337">
        <f t="shared" si="100"/>
        <v>0</v>
      </c>
      <c r="I1007" s="337" t="e">
        <f t="shared" si="97"/>
        <v>#DIV/0!</v>
      </c>
      <c r="J1007" s="330"/>
    </row>
    <row r="1008" spans="1:10" ht="15.75" hidden="1" x14ac:dyDescent="0.25">
      <c r="A1008" s="335" t="s">
        <v>151</v>
      </c>
      <c r="B1008" s="482">
        <v>907</v>
      </c>
      <c r="C1008" s="268" t="s">
        <v>197</v>
      </c>
      <c r="D1008" s="268" t="s">
        <v>81</v>
      </c>
      <c r="E1008" s="268" t="s">
        <v>752</v>
      </c>
      <c r="F1008" s="268" t="s">
        <v>152</v>
      </c>
      <c r="G1008" s="337"/>
      <c r="H1008" s="337"/>
      <c r="I1008" s="337" t="e">
        <f t="shared" si="97"/>
        <v>#DIV/0!</v>
      </c>
      <c r="J1008" s="330"/>
    </row>
    <row r="1009" spans="1:10" ht="47.25" x14ac:dyDescent="0.25">
      <c r="A1009" s="130" t="s">
        <v>853</v>
      </c>
      <c r="B1009" s="432">
        <v>907</v>
      </c>
      <c r="C1009" s="481" t="s">
        <v>197</v>
      </c>
      <c r="D1009" s="481" t="s">
        <v>81</v>
      </c>
      <c r="E1009" s="481" t="s">
        <v>259</v>
      </c>
      <c r="F1009" s="486"/>
      <c r="G1009" s="338">
        <f t="shared" ref="G1009:H1012" si="101">G1010</f>
        <v>581.70000000000005</v>
      </c>
      <c r="H1009" s="338">
        <f t="shared" si="101"/>
        <v>581.70000000000005</v>
      </c>
      <c r="I1009" s="338">
        <f t="shared" si="97"/>
        <v>100</v>
      </c>
    </row>
    <row r="1010" spans="1:10" ht="47.25" x14ac:dyDescent="0.25">
      <c r="A1010" s="130" t="s">
        <v>341</v>
      </c>
      <c r="B1010" s="432">
        <v>907</v>
      </c>
      <c r="C1010" s="481" t="s">
        <v>197</v>
      </c>
      <c r="D1010" s="481" t="s">
        <v>81</v>
      </c>
      <c r="E1010" s="481" t="s">
        <v>339</v>
      </c>
      <c r="F1010" s="486"/>
      <c r="G1010" s="338">
        <f t="shared" si="101"/>
        <v>581.70000000000005</v>
      </c>
      <c r="H1010" s="338">
        <f t="shared" si="101"/>
        <v>581.70000000000005</v>
      </c>
      <c r="I1010" s="338">
        <f t="shared" si="97"/>
        <v>100</v>
      </c>
    </row>
    <row r="1011" spans="1:10" ht="49.5" customHeight="1" x14ac:dyDescent="0.25">
      <c r="A1011" s="26" t="s">
        <v>274</v>
      </c>
      <c r="B1011" s="482">
        <v>907</v>
      </c>
      <c r="C1011" s="268" t="s">
        <v>197</v>
      </c>
      <c r="D1011" s="268" t="s">
        <v>81</v>
      </c>
      <c r="E1011" s="268" t="s">
        <v>374</v>
      </c>
      <c r="F1011" s="487"/>
      <c r="G1011" s="337">
        <f t="shared" si="101"/>
        <v>581.70000000000005</v>
      </c>
      <c r="H1011" s="337">
        <f t="shared" si="101"/>
        <v>581.70000000000005</v>
      </c>
      <c r="I1011" s="337">
        <f t="shared" si="97"/>
        <v>100</v>
      </c>
    </row>
    <row r="1012" spans="1:10" ht="31.5" x14ac:dyDescent="0.25">
      <c r="A1012" s="19" t="s">
        <v>149</v>
      </c>
      <c r="B1012" s="482">
        <v>907</v>
      </c>
      <c r="C1012" s="268" t="s">
        <v>197</v>
      </c>
      <c r="D1012" s="268" t="s">
        <v>81</v>
      </c>
      <c r="E1012" s="268" t="s">
        <v>374</v>
      </c>
      <c r="F1012" s="487" t="s">
        <v>150</v>
      </c>
      <c r="G1012" s="337">
        <f t="shared" si="101"/>
        <v>581.70000000000005</v>
      </c>
      <c r="H1012" s="337">
        <f t="shared" si="101"/>
        <v>581.70000000000005</v>
      </c>
      <c r="I1012" s="337">
        <f t="shared" si="97"/>
        <v>100</v>
      </c>
    </row>
    <row r="1013" spans="1:10" ht="15.75" x14ac:dyDescent="0.25">
      <c r="A1013" s="68" t="s">
        <v>151</v>
      </c>
      <c r="B1013" s="482">
        <v>907</v>
      </c>
      <c r="C1013" s="268" t="s">
        <v>197</v>
      </c>
      <c r="D1013" s="268" t="s">
        <v>81</v>
      </c>
      <c r="E1013" s="268" t="s">
        <v>374</v>
      </c>
      <c r="F1013" s="487" t="s">
        <v>152</v>
      </c>
      <c r="G1013" s="337">
        <f>402.7+204.9-11.3-14.6</f>
        <v>581.70000000000005</v>
      </c>
      <c r="H1013" s="337">
        <v>581.70000000000005</v>
      </c>
      <c r="I1013" s="337">
        <f t="shared" si="97"/>
        <v>100</v>
      </c>
    </row>
    <row r="1014" spans="1:10" ht="54" customHeight="1" x14ac:dyDescent="0.25">
      <c r="A1014" s="130" t="s">
        <v>901</v>
      </c>
      <c r="B1014" s="432">
        <v>907</v>
      </c>
      <c r="C1014" s="488" t="s">
        <v>197</v>
      </c>
      <c r="D1014" s="488" t="s">
        <v>81</v>
      </c>
      <c r="E1014" s="398" t="s">
        <v>292</v>
      </c>
      <c r="F1014" s="488"/>
      <c r="G1014" s="338">
        <f t="shared" ref="G1014:H1017" si="102">G1015</f>
        <v>48.4</v>
      </c>
      <c r="H1014" s="338">
        <f t="shared" si="102"/>
        <v>48.4</v>
      </c>
      <c r="I1014" s="338">
        <f t="shared" si="97"/>
        <v>100</v>
      </c>
    </row>
    <row r="1015" spans="1:10" ht="31.5" x14ac:dyDescent="0.25">
      <c r="A1015" s="30" t="s">
        <v>319</v>
      </c>
      <c r="B1015" s="432">
        <v>907</v>
      </c>
      <c r="C1015" s="488" t="s">
        <v>197</v>
      </c>
      <c r="D1015" s="488" t="s">
        <v>81</v>
      </c>
      <c r="E1015" s="398" t="s">
        <v>327</v>
      </c>
      <c r="F1015" s="488"/>
      <c r="G1015" s="338">
        <f t="shared" si="102"/>
        <v>48.4</v>
      </c>
      <c r="H1015" s="338">
        <f t="shared" si="102"/>
        <v>48.4</v>
      </c>
      <c r="I1015" s="338">
        <f t="shared" si="97"/>
        <v>100</v>
      </c>
    </row>
    <row r="1016" spans="1:10" ht="31.5" x14ac:dyDescent="0.25">
      <c r="A1016" s="26" t="s">
        <v>1110</v>
      </c>
      <c r="B1016" s="482">
        <v>907</v>
      </c>
      <c r="C1016" s="489" t="s">
        <v>197</v>
      </c>
      <c r="D1016" s="489" t="s">
        <v>81</v>
      </c>
      <c r="E1016" s="399" t="s">
        <v>1109</v>
      </c>
      <c r="F1016" s="489"/>
      <c r="G1016" s="337">
        <f t="shared" si="102"/>
        <v>48.4</v>
      </c>
      <c r="H1016" s="337">
        <f t="shared" si="102"/>
        <v>48.4</v>
      </c>
      <c r="I1016" s="337">
        <f t="shared" si="97"/>
        <v>100</v>
      </c>
    </row>
    <row r="1017" spans="1:10" ht="31.5" x14ac:dyDescent="0.25">
      <c r="A1017" s="19" t="s">
        <v>149</v>
      </c>
      <c r="B1017" s="482">
        <v>907</v>
      </c>
      <c r="C1017" s="489" t="s">
        <v>197</v>
      </c>
      <c r="D1017" s="489" t="s">
        <v>81</v>
      </c>
      <c r="E1017" s="399" t="s">
        <v>1109</v>
      </c>
      <c r="F1017" s="489" t="s">
        <v>150</v>
      </c>
      <c r="G1017" s="337">
        <f t="shared" si="102"/>
        <v>48.4</v>
      </c>
      <c r="H1017" s="337">
        <f t="shared" si="102"/>
        <v>48.4</v>
      </c>
      <c r="I1017" s="337">
        <f t="shared" si="97"/>
        <v>100</v>
      </c>
    </row>
    <row r="1018" spans="1:10" ht="18" customHeight="1" x14ac:dyDescent="0.25">
      <c r="A1018" s="68" t="s">
        <v>151</v>
      </c>
      <c r="B1018" s="482">
        <v>907</v>
      </c>
      <c r="C1018" s="489" t="s">
        <v>197</v>
      </c>
      <c r="D1018" s="489" t="s">
        <v>81</v>
      </c>
      <c r="E1018" s="399" t="s">
        <v>1109</v>
      </c>
      <c r="F1018" s="489" t="s">
        <v>152</v>
      </c>
      <c r="G1018" s="337">
        <f>48.4</f>
        <v>48.4</v>
      </c>
      <c r="H1018" s="337">
        <v>48.4</v>
      </c>
      <c r="I1018" s="337">
        <f t="shared" si="97"/>
        <v>100</v>
      </c>
    </row>
    <row r="1019" spans="1:10" ht="15.75" x14ac:dyDescent="0.25">
      <c r="A1019" s="315" t="s">
        <v>997</v>
      </c>
      <c r="B1019" s="432">
        <v>907</v>
      </c>
      <c r="C1019" s="481" t="s">
        <v>197</v>
      </c>
      <c r="D1019" s="481" t="s">
        <v>120</v>
      </c>
      <c r="E1019" s="481"/>
      <c r="F1019" s="486"/>
      <c r="G1019" s="338">
        <f>G1020+G1046</f>
        <v>19701.184529999999</v>
      </c>
      <c r="H1019" s="338">
        <f>H1020+H1046</f>
        <v>19661.615949999996</v>
      </c>
      <c r="I1019" s="338">
        <f t="shared" si="97"/>
        <v>99.799156340372591</v>
      </c>
    </row>
    <row r="1020" spans="1:10" ht="47.25" x14ac:dyDescent="0.25">
      <c r="A1020" s="116" t="s">
        <v>888</v>
      </c>
      <c r="B1020" s="432">
        <v>907</v>
      </c>
      <c r="C1020" s="481" t="s">
        <v>197</v>
      </c>
      <c r="D1020" s="481" t="s">
        <v>120</v>
      </c>
      <c r="E1020" s="481" t="s">
        <v>195</v>
      </c>
      <c r="F1020" s="481"/>
      <c r="G1020" s="338">
        <f>G1021+G1028+G1038+G1042</f>
        <v>19496.58453</v>
      </c>
      <c r="H1020" s="338">
        <f>H1021+H1028+H1038+H1042</f>
        <v>19457.015949999997</v>
      </c>
      <c r="I1020" s="338">
        <f t="shared" si="97"/>
        <v>99.797048657732248</v>
      </c>
    </row>
    <row r="1021" spans="1:10" ht="31.5" x14ac:dyDescent="0.25">
      <c r="A1021" s="116" t="s">
        <v>375</v>
      </c>
      <c r="B1021" s="432">
        <v>907</v>
      </c>
      <c r="C1021" s="481" t="s">
        <v>197</v>
      </c>
      <c r="D1021" s="481" t="s">
        <v>120</v>
      </c>
      <c r="E1021" s="481" t="s">
        <v>599</v>
      </c>
      <c r="F1021" s="481"/>
      <c r="G1021" s="338">
        <f>G1022+G1025</f>
        <v>18322.338930000002</v>
      </c>
      <c r="H1021" s="338">
        <f>H1022+H1025</f>
        <v>18285.270349999999</v>
      </c>
      <c r="I1021" s="338">
        <f t="shared" si="97"/>
        <v>99.797686419066792</v>
      </c>
    </row>
    <row r="1022" spans="1:10" ht="31.5" x14ac:dyDescent="0.25">
      <c r="A1022" s="335" t="s">
        <v>199</v>
      </c>
      <c r="B1022" s="482">
        <v>907</v>
      </c>
      <c r="C1022" s="268" t="s">
        <v>197</v>
      </c>
      <c r="D1022" s="268" t="s">
        <v>120</v>
      </c>
      <c r="E1022" s="268" t="s">
        <v>600</v>
      </c>
      <c r="F1022" s="268"/>
      <c r="G1022" s="337">
        <f t="shared" ref="G1022:H1023" si="103">G1023</f>
        <v>18049.358930000002</v>
      </c>
      <c r="H1022" s="337">
        <f t="shared" si="103"/>
        <v>18012.290349999999</v>
      </c>
      <c r="I1022" s="337">
        <f t="shared" si="97"/>
        <v>99.794626611705368</v>
      </c>
    </row>
    <row r="1023" spans="1:10" ht="31.5" x14ac:dyDescent="0.25">
      <c r="A1023" s="335" t="s">
        <v>149</v>
      </c>
      <c r="B1023" s="482">
        <v>907</v>
      </c>
      <c r="C1023" s="268" t="s">
        <v>197</v>
      </c>
      <c r="D1023" s="268" t="s">
        <v>120</v>
      </c>
      <c r="E1023" s="268" t="s">
        <v>600</v>
      </c>
      <c r="F1023" s="268" t="s">
        <v>150</v>
      </c>
      <c r="G1023" s="337">
        <f t="shared" si="103"/>
        <v>18049.358930000002</v>
      </c>
      <c r="H1023" s="337">
        <f t="shared" si="103"/>
        <v>18012.290349999999</v>
      </c>
      <c r="I1023" s="337">
        <f t="shared" si="97"/>
        <v>99.794626611705368</v>
      </c>
    </row>
    <row r="1024" spans="1:10" ht="27.75" customHeight="1" x14ac:dyDescent="0.25">
      <c r="A1024" s="335" t="s">
        <v>151</v>
      </c>
      <c r="B1024" s="482">
        <v>907</v>
      </c>
      <c r="C1024" s="268" t="s">
        <v>197</v>
      </c>
      <c r="D1024" s="268" t="s">
        <v>120</v>
      </c>
      <c r="E1024" s="268" t="s">
        <v>600</v>
      </c>
      <c r="F1024" s="268" t="s">
        <v>152</v>
      </c>
      <c r="G1024" s="271">
        <f>17422.43+135.1-2.3+841+253.982+40.65+50.27037+13.45198-705.22542</f>
        <v>18049.358930000002</v>
      </c>
      <c r="H1024" s="271">
        <v>18012.290349999999</v>
      </c>
      <c r="I1024" s="337">
        <f t="shared" si="97"/>
        <v>99.794626611705368</v>
      </c>
      <c r="J1024" s="341"/>
    </row>
    <row r="1025" spans="1:9" ht="31.5" x14ac:dyDescent="0.25">
      <c r="A1025" s="335" t="s">
        <v>1118</v>
      </c>
      <c r="B1025" s="482">
        <v>907</v>
      </c>
      <c r="C1025" s="268" t="s">
        <v>197</v>
      </c>
      <c r="D1025" s="268" t="s">
        <v>120</v>
      </c>
      <c r="E1025" s="268" t="s">
        <v>1123</v>
      </c>
      <c r="F1025" s="268"/>
      <c r="G1025" s="271">
        <f>G1026</f>
        <v>272.98</v>
      </c>
      <c r="H1025" s="271">
        <f>H1026</f>
        <v>272.98</v>
      </c>
      <c r="I1025" s="337">
        <f t="shared" si="97"/>
        <v>100</v>
      </c>
    </row>
    <row r="1026" spans="1:9" ht="37.5" customHeight="1" x14ac:dyDescent="0.25">
      <c r="A1026" s="335" t="s">
        <v>149</v>
      </c>
      <c r="B1026" s="482">
        <v>907</v>
      </c>
      <c r="C1026" s="268" t="s">
        <v>197</v>
      </c>
      <c r="D1026" s="268" t="s">
        <v>120</v>
      </c>
      <c r="E1026" s="268" t="s">
        <v>1123</v>
      </c>
      <c r="F1026" s="268" t="s">
        <v>150</v>
      </c>
      <c r="G1026" s="271">
        <f>G1027</f>
        <v>272.98</v>
      </c>
      <c r="H1026" s="271">
        <f>H1027</f>
        <v>272.98</v>
      </c>
      <c r="I1026" s="337">
        <f t="shared" si="97"/>
        <v>100</v>
      </c>
    </row>
    <row r="1027" spans="1:9" ht="15.75" x14ac:dyDescent="0.25">
      <c r="A1027" s="335" t="s">
        <v>151</v>
      </c>
      <c r="B1027" s="482">
        <v>907</v>
      </c>
      <c r="C1027" s="268" t="s">
        <v>197</v>
      </c>
      <c r="D1027" s="268" t="s">
        <v>120</v>
      </c>
      <c r="E1027" s="268" t="s">
        <v>1123</v>
      </c>
      <c r="F1027" s="268" t="s">
        <v>152</v>
      </c>
      <c r="G1027" s="271">
        <f>209.66+63.32</f>
        <v>272.98</v>
      </c>
      <c r="H1027" s="271">
        <v>272.98</v>
      </c>
      <c r="I1027" s="337">
        <f t="shared" si="97"/>
        <v>100</v>
      </c>
    </row>
    <row r="1028" spans="1:9" ht="15.75" x14ac:dyDescent="0.25">
      <c r="A1028" s="116" t="s">
        <v>379</v>
      </c>
      <c r="B1028" s="432">
        <v>907</v>
      </c>
      <c r="C1028" s="481" t="s">
        <v>197</v>
      </c>
      <c r="D1028" s="481" t="s">
        <v>120</v>
      </c>
      <c r="E1028" s="481" t="s">
        <v>601</v>
      </c>
      <c r="F1028" s="481"/>
      <c r="G1028" s="273">
        <f>G1032+G1035</f>
        <v>95.35</v>
      </c>
      <c r="H1028" s="273">
        <f>H1032+H1035</f>
        <v>95.35</v>
      </c>
      <c r="I1028" s="338">
        <f t="shared" si="97"/>
        <v>100</v>
      </c>
    </row>
    <row r="1029" spans="1:9" ht="31.5" hidden="1" x14ac:dyDescent="0.25">
      <c r="A1029" s="335" t="s">
        <v>153</v>
      </c>
      <c r="B1029" s="482">
        <v>907</v>
      </c>
      <c r="C1029" s="268" t="s">
        <v>197</v>
      </c>
      <c r="D1029" s="268" t="s">
        <v>81</v>
      </c>
      <c r="E1029" s="268" t="s">
        <v>635</v>
      </c>
      <c r="F1029" s="268"/>
      <c r="G1029" s="337">
        <f>G1030</f>
        <v>0</v>
      </c>
      <c r="H1029" s="337">
        <f>H1030</f>
        <v>0</v>
      </c>
      <c r="I1029" s="337" t="e">
        <f t="shared" si="97"/>
        <v>#DIV/0!</v>
      </c>
    </row>
    <row r="1030" spans="1:9" ht="31.5" hidden="1" x14ac:dyDescent="0.25">
      <c r="A1030" s="335" t="s">
        <v>149</v>
      </c>
      <c r="B1030" s="482">
        <v>907</v>
      </c>
      <c r="C1030" s="268" t="s">
        <v>197</v>
      </c>
      <c r="D1030" s="268" t="s">
        <v>81</v>
      </c>
      <c r="E1030" s="268" t="s">
        <v>635</v>
      </c>
      <c r="F1030" s="268" t="s">
        <v>150</v>
      </c>
      <c r="G1030" s="337">
        <f>G1031</f>
        <v>0</v>
      </c>
      <c r="H1030" s="337">
        <f>H1031</f>
        <v>0</v>
      </c>
      <c r="I1030" s="337" t="e">
        <f t="shared" si="97"/>
        <v>#DIV/0!</v>
      </c>
    </row>
    <row r="1031" spans="1:9" ht="15.75" hidden="1" x14ac:dyDescent="0.25">
      <c r="A1031" s="335" t="s">
        <v>151</v>
      </c>
      <c r="B1031" s="482">
        <v>907</v>
      </c>
      <c r="C1031" s="268" t="s">
        <v>197</v>
      </c>
      <c r="D1031" s="268" t="s">
        <v>81</v>
      </c>
      <c r="E1031" s="268" t="s">
        <v>635</v>
      </c>
      <c r="F1031" s="268" t="s">
        <v>152</v>
      </c>
      <c r="G1031" s="337"/>
      <c r="H1031" s="337"/>
      <c r="I1031" s="337" t="e">
        <f t="shared" si="97"/>
        <v>#DIV/0!</v>
      </c>
    </row>
    <row r="1032" spans="1:9" ht="31.5" x14ac:dyDescent="0.25">
      <c r="A1032" s="335" t="s">
        <v>855</v>
      </c>
      <c r="B1032" s="482">
        <v>907</v>
      </c>
      <c r="C1032" s="268" t="s">
        <v>197</v>
      </c>
      <c r="D1032" s="268" t="s">
        <v>120</v>
      </c>
      <c r="E1032" s="268" t="s">
        <v>636</v>
      </c>
      <c r="F1032" s="268"/>
      <c r="G1032" s="337">
        <f>G1033</f>
        <v>59.35</v>
      </c>
      <c r="H1032" s="337">
        <f>H1033</f>
        <v>59.35</v>
      </c>
      <c r="I1032" s="337">
        <f t="shared" si="97"/>
        <v>100</v>
      </c>
    </row>
    <row r="1033" spans="1:9" ht="31.5" x14ac:dyDescent="0.25">
      <c r="A1033" s="335" t="s">
        <v>149</v>
      </c>
      <c r="B1033" s="482">
        <v>907</v>
      </c>
      <c r="C1033" s="268" t="s">
        <v>197</v>
      </c>
      <c r="D1033" s="268" t="s">
        <v>120</v>
      </c>
      <c r="E1033" s="268" t="s">
        <v>636</v>
      </c>
      <c r="F1033" s="268" t="s">
        <v>150</v>
      </c>
      <c r="G1033" s="337">
        <f>G1034</f>
        <v>59.35</v>
      </c>
      <c r="H1033" s="337">
        <f>H1034</f>
        <v>59.35</v>
      </c>
      <c r="I1033" s="337">
        <f t="shared" si="97"/>
        <v>100</v>
      </c>
    </row>
    <row r="1034" spans="1:9" ht="15.75" x14ac:dyDescent="0.25">
      <c r="A1034" s="335" t="s">
        <v>151</v>
      </c>
      <c r="B1034" s="482">
        <v>907</v>
      </c>
      <c r="C1034" s="268" t="s">
        <v>197</v>
      </c>
      <c r="D1034" s="268" t="s">
        <v>120</v>
      </c>
      <c r="E1034" s="268" t="s">
        <v>636</v>
      </c>
      <c r="F1034" s="268" t="s">
        <v>152</v>
      </c>
      <c r="G1034" s="337">
        <f>100-40.65</f>
        <v>59.35</v>
      </c>
      <c r="H1034" s="337">
        <v>59.35</v>
      </c>
      <c r="I1034" s="337">
        <f t="shared" si="97"/>
        <v>100</v>
      </c>
    </row>
    <row r="1035" spans="1:9" ht="31.5" x14ac:dyDescent="0.25">
      <c r="A1035" s="335" t="s">
        <v>154</v>
      </c>
      <c r="B1035" s="482">
        <v>907</v>
      </c>
      <c r="C1035" s="268" t="s">
        <v>197</v>
      </c>
      <c r="D1035" s="268" t="s">
        <v>120</v>
      </c>
      <c r="E1035" s="268" t="s">
        <v>602</v>
      </c>
      <c r="F1035" s="268"/>
      <c r="G1035" s="337">
        <f>G1036</f>
        <v>36</v>
      </c>
      <c r="H1035" s="337">
        <f>H1036</f>
        <v>36</v>
      </c>
      <c r="I1035" s="337">
        <f t="shared" si="97"/>
        <v>100</v>
      </c>
    </row>
    <row r="1036" spans="1:9" ht="31.5" x14ac:dyDescent="0.25">
      <c r="A1036" s="335" t="s">
        <v>149</v>
      </c>
      <c r="B1036" s="482">
        <v>907</v>
      </c>
      <c r="C1036" s="268" t="s">
        <v>197</v>
      </c>
      <c r="D1036" s="268" t="s">
        <v>120</v>
      </c>
      <c r="E1036" s="268" t="s">
        <v>602</v>
      </c>
      <c r="F1036" s="268" t="s">
        <v>150</v>
      </c>
      <c r="G1036" s="337">
        <f>G1037</f>
        <v>36</v>
      </c>
      <c r="H1036" s="337">
        <f>H1037</f>
        <v>36</v>
      </c>
      <c r="I1036" s="337">
        <f t="shared" ref="I1036:I1099" si="104">H1036/G1036*100</f>
        <v>100</v>
      </c>
    </row>
    <row r="1037" spans="1:9" ht="15.75" x14ac:dyDescent="0.25">
      <c r="A1037" s="335" t="s">
        <v>151</v>
      </c>
      <c r="B1037" s="482">
        <v>907</v>
      </c>
      <c r="C1037" s="268" t="s">
        <v>197</v>
      </c>
      <c r="D1037" s="268" t="s">
        <v>120</v>
      </c>
      <c r="E1037" s="268" t="s">
        <v>602</v>
      </c>
      <c r="F1037" s="268" t="s">
        <v>152</v>
      </c>
      <c r="G1037" s="337">
        <v>36</v>
      </c>
      <c r="H1037" s="337">
        <v>36</v>
      </c>
      <c r="I1037" s="337">
        <f t="shared" si="104"/>
        <v>100</v>
      </c>
    </row>
    <row r="1038" spans="1:9" ht="31.5" x14ac:dyDescent="0.25">
      <c r="A1038" s="116" t="s">
        <v>380</v>
      </c>
      <c r="B1038" s="432">
        <v>907</v>
      </c>
      <c r="C1038" s="481" t="s">
        <v>197</v>
      </c>
      <c r="D1038" s="481" t="s">
        <v>120</v>
      </c>
      <c r="E1038" s="481" t="s">
        <v>603</v>
      </c>
      <c r="F1038" s="481"/>
      <c r="G1038" s="273">
        <f t="shared" ref="G1038:H1040" si="105">G1039</f>
        <v>367.49559999999997</v>
      </c>
      <c r="H1038" s="273">
        <f t="shared" si="105"/>
        <v>364.99560000000002</v>
      </c>
      <c r="I1038" s="338">
        <f t="shared" si="104"/>
        <v>99.319719746304457</v>
      </c>
    </row>
    <row r="1039" spans="1:9" ht="31.5" x14ac:dyDescent="0.25">
      <c r="A1039" s="26" t="s">
        <v>261</v>
      </c>
      <c r="B1039" s="482">
        <v>907</v>
      </c>
      <c r="C1039" s="268" t="s">
        <v>197</v>
      </c>
      <c r="D1039" s="268" t="s">
        <v>120</v>
      </c>
      <c r="E1039" s="268" t="s">
        <v>604</v>
      </c>
      <c r="F1039" s="268"/>
      <c r="G1039" s="337">
        <f t="shared" si="105"/>
        <v>367.49559999999997</v>
      </c>
      <c r="H1039" s="337">
        <f t="shared" si="105"/>
        <v>364.99560000000002</v>
      </c>
      <c r="I1039" s="337">
        <f t="shared" si="104"/>
        <v>99.319719746304457</v>
      </c>
    </row>
    <row r="1040" spans="1:9" ht="31.5" x14ac:dyDescent="0.25">
      <c r="A1040" s="20" t="s">
        <v>149</v>
      </c>
      <c r="B1040" s="482">
        <v>907</v>
      </c>
      <c r="C1040" s="268" t="s">
        <v>197</v>
      </c>
      <c r="D1040" s="268" t="s">
        <v>120</v>
      </c>
      <c r="E1040" s="268" t="s">
        <v>604</v>
      </c>
      <c r="F1040" s="268" t="s">
        <v>150</v>
      </c>
      <c r="G1040" s="337">
        <f t="shared" si="105"/>
        <v>367.49559999999997</v>
      </c>
      <c r="H1040" s="337">
        <f t="shared" si="105"/>
        <v>364.99560000000002</v>
      </c>
      <c r="I1040" s="337">
        <f t="shared" si="104"/>
        <v>99.319719746304457</v>
      </c>
    </row>
    <row r="1041" spans="1:10" ht="15.75" x14ac:dyDescent="0.25">
      <c r="A1041" s="20" t="s">
        <v>151</v>
      </c>
      <c r="B1041" s="482">
        <v>907</v>
      </c>
      <c r="C1041" s="268" t="s">
        <v>197</v>
      </c>
      <c r="D1041" s="268" t="s">
        <v>120</v>
      </c>
      <c r="E1041" s="268" t="s">
        <v>604</v>
      </c>
      <c r="F1041" s="268" t="s">
        <v>152</v>
      </c>
      <c r="G1041" s="337">
        <f>301+66.4956</f>
        <v>367.49559999999997</v>
      </c>
      <c r="H1041" s="337">
        <v>364.99560000000002</v>
      </c>
      <c r="I1041" s="337">
        <f t="shared" si="104"/>
        <v>99.319719746304457</v>
      </c>
    </row>
    <row r="1042" spans="1:10" ht="47.25" x14ac:dyDescent="0.25">
      <c r="A1042" s="116" t="s">
        <v>349</v>
      </c>
      <c r="B1042" s="432">
        <v>907</v>
      </c>
      <c r="C1042" s="481" t="s">
        <v>197</v>
      </c>
      <c r="D1042" s="481" t="s">
        <v>120</v>
      </c>
      <c r="E1042" s="481" t="s">
        <v>605</v>
      </c>
      <c r="F1042" s="481"/>
      <c r="G1042" s="338">
        <f t="shared" ref="G1042:H1044" si="106">G1043</f>
        <v>711.4</v>
      </c>
      <c r="H1042" s="338">
        <f t="shared" si="106"/>
        <v>711.4</v>
      </c>
      <c r="I1042" s="338">
        <f t="shared" si="104"/>
        <v>100</v>
      </c>
    </row>
    <row r="1043" spans="1:10" ht="47.25" x14ac:dyDescent="0.25">
      <c r="A1043" s="335" t="s">
        <v>852</v>
      </c>
      <c r="B1043" s="482">
        <v>907</v>
      </c>
      <c r="C1043" s="268" t="s">
        <v>197</v>
      </c>
      <c r="D1043" s="268" t="s">
        <v>120</v>
      </c>
      <c r="E1043" s="268" t="s">
        <v>859</v>
      </c>
      <c r="F1043" s="268"/>
      <c r="G1043" s="337">
        <f t="shared" si="106"/>
        <v>711.4</v>
      </c>
      <c r="H1043" s="337">
        <f t="shared" si="106"/>
        <v>711.4</v>
      </c>
      <c r="I1043" s="337">
        <f t="shared" si="104"/>
        <v>100</v>
      </c>
    </row>
    <row r="1044" spans="1:10" ht="31.5" x14ac:dyDescent="0.25">
      <c r="A1044" s="335" t="s">
        <v>149</v>
      </c>
      <c r="B1044" s="482">
        <v>907</v>
      </c>
      <c r="C1044" s="268" t="s">
        <v>197</v>
      </c>
      <c r="D1044" s="268" t="s">
        <v>120</v>
      </c>
      <c r="E1044" s="268" t="s">
        <v>859</v>
      </c>
      <c r="F1044" s="268" t="s">
        <v>150</v>
      </c>
      <c r="G1044" s="337">
        <f t="shared" si="106"/>
        <v>711.4</v>
      </c>
      <c r="H1044" s="337">
        <f t="shared" si="106"/>
        <v>711.4</v>
      </c>
      <c r="I1044" s="337">
        <f t="shared" si="104"/>
        <v>100</v>
      </c>
    </row>
    <row r="1045" spans="1:10" ht="15.75" x14ac:dyDescent="0.25">
      <c r="A1045" s="335" t="s">
        <v>151</v>
      </c>
      <c r="B1045" s="482">
        <v>907</v>
      </c>
      <c r="C1045" s="268" t="s">
        <v>197</v>
      </c>
      <c r="D1045" s="268" t="s">
        <v>120</v>
      </c>
      <c r="E1045" s="268" t="s">
        <v>859</v>
      </c>
      <c r="F1045" s="268" t="s">
        <v>152</v>
      </c>
      <c r="G1045" s="337">
        <f>574.4+137</f>
        <v>711.4</v>
      </c>
      <c r="H1045" s="337">
        <v>711.4</v>
      </c>
      <c r="I1045" s="337">
        <f t="shared" si="104"/>
        <v>100</v>
      </c>
    </row>
    <row r="1046" spans="1:10" ht="47.25" x14ac:dyDescent="0.25">
      <c r="A1046" s="130" t="s">
        <v>853</v>
      </c>
      <c r="B1046" s="432">
        <v>907</v>
      </c>
      <c r="C1046" s="481" t="s">
        <v>197</v>
      </c>
      <c r="D1046" s="481" t="s">
        <v>120</v>
      </c>
      <c r="E1046" s="481" t="s">
        <v>259</v>
      </c>
      <c r="F1046" s="486"/>
      <c r="G1046" s="338">
        <f t="shared" ref="G1046:H1049" si="107">G1047</f>
        <v>204.6</v>
      </c>
      <c r="H1046" s="338">
        <f t="shared" si="107"/>
        <v>204.6</v>
      </c>
      <c r="I1046" s="338">
        <f t="shared" si="104"/>
        <v>100</v>
      </c>
    </row>
    <row r="1047" spans="1:10" ht="47.25" x14ac:dyDescent="0.25">
      <c r="A1047" s="130" t="s">
        <v>341</v>
      </c>
      <c r="B1047" s="432">
        <v>907</v>
      </c>
      <c r="C1047" s="481" t="s">
        <v>197</v>
      </c>
      <c r="D1047" s="481" t="s">
        <v>120</v>
      </c>
      <c r="E1047" s="481" t="s">
        <v>339</v>
      </c>
      <c r="F1047" s="486"/>
      <c r="G1047" s="338">
        <f t="shared" si="107"/>
        <v>204.6</v>
      </c>
      <c r="H1047" s="338">
        <f t="shared" si="107"/>
        <v>204.6</v>
      </c>
      <c r="I1047" s="338">
        <f t="shared" si="104"/>
        <v>100</v>
      </c>
    </row>
    <row r="1048" spans="1:10" ht="47.25" x14ac:dyDescent="0.25">
      <c r="A1048" s="26" t="s">
        <v>274</v>
      </c>
      <c r="B1048" s="482">
        <v>907</v>
      </c>
      <c r="C1048" s="268" t="s">
        <v>197</v>
      </c>
      <c r="D1048" s="268" t="s">
        <v>120</v>
      </c>
      <c r="E1048" s="268" t="s">
        <v>374</v>
      </c>
      <c r="F1048" s="487"/>
      <c r="G1048" s="337">
        <f t="shared" si="107"/>
        <v>204.6</v>
      </c>
      <c r="H1048" s="337">
        <f t="shared" si="107"/>
        <v>204.6</v>
      </c>
      <c r="I1048" s="337">
        <f t="shared" si="104"/>
        <v>100</v>
      </c>
    </row>
    <row r="1049" spans="1:10" ht="31.5" x14ac:dyDescent="0.25">
      <c r="A1049" s="19" t="s">
        <v>149</v>
      </c>
      <c r="B1049" s="482">
        <v>907</v>
      </c>
      <c r="C1049" s="268" t="s">
        <v>197</v>
      </c>
      <c r="D1049" s="268" t="s">
        <v>120</v>
      </c>
      <c r="E1049" s="268" t="s">
        <v>374</v>
      </c>
      <c r="F1049" s="487" t="s">
        <v>150</v>
      </c>
      <c r="G1049" s="337">
        <f t="shared" si="107"/>
        <v>204.6</v>
      </c>
      <c r="H1049" s="337">
        <f t="shared" si="107"/>
        <v>204.6</v>
      </c>
      <c r="I1049" s="337">
        <f t="shared" si="104"/>
        <v>100</v>
      </c>
    </row>
    <row r="1050" spans="1:10" ht="31.5" customHeight="1" x14ac:dyDescent="0.25">
      <c r="A1050" s="68" t="s">
        <v>151</v>
      </c>
      <c r="B1050" s="482">
        <v>907</v>
      </c>
      <c r="C1050" s="268" t="s">
        <v>197</v>
      </c>
      <c r="D1050" s="268" t="s">
        <v>120</v>
      </c>
      <c r="E1050" s="268" t="s">
        <v>374</v>
      </c>
      <c r="F1050" s="487" t="s">
        <v>152</v>
      </c>
      <c r="G1050" s="337">
        <f>176.4+28.2</f>
        <v>204.6</v>
      </c>
      <c r="H1050" s="337">
        <v>204.6</v>
      </c>
      <c r="I1050" s="337">
        <f t="shared" si="104"/>
        <v>100</v>
      </c>
      <c r="J1050" s="341"/>
    </row>
    <row r="1051" spans="1:10" ht="31.5" x14ac:dyDescent="0.25">
      <c r="A1051" s="116" t="s">
        <v>200</v>
      </c>
      <c r="B1051" s="432">
        <v>907</v>
      </c>
      <c r="C1051" s="481" t="s">
        <v>197</v>
      </c>
      <c r="D1051" s="481" t="s">
        <v>129</v>
      </c>
      <c r="E1051" s="481"/>
      <c r="F1051" s="481"/>
      <c r="G1051" s="338">
        <f>G1052+G1068+G1086</f>
        <v>19479.120859999999</v>
      </c>
      <c r="H1051" s="338">
        <f>H1052+H1068+H1086</f>
        <v>19473.470289999997</v>
      </c>
      <c r="I1051" s="338">
        <f t="shared" si="104"/>
        <v>99.970991657987994</v>
      </c>
    </row>
    <row r="1052" spans="1:10" ht="31.5" x14ac:dyDescent="0.25">
      <c r="A1052" s="116" t="s">
        <v>362</v>
      </c>
      <c r="B1052" s="432">
        <v>907</v>
      </c>
      <c r="C1052" s="481" t="s">
        <v>197</v>
      </c>
      <c r="D1052" s="481" t="s">
        <v>129</v>
      </c>
      <c r="E1052" s="481" t="s">
        <v>321</v>
      </c>
      <c r="F1052" s="481"/>
      <c r="G1052" s="338">
        <f>G1053</f>
        <v>7579.4284999999991</v>
      </c>
      <c r="H1052" s="338">
        <f>H1053</f>
        <v>7576.1391999999996</v>
      </c>
      <c r="I1052" s="338">
        <f t="shared" si="104"/>
        <v>99.956602268891388</v>
      </c>
    </row>
    <row r="1053" spans="1:10" ht="15.75" x14ac:dyDescent="0.25">
      <c r="A1053" s="116" t="s">
        <v>363</v>
      </c>
      <c r="B1053" s="432">
        <v>907</v>
      </c>
      <c r="C1053" s="481" t="s">
        <v>197</v>
      </c>
      <c r="D1053" s="481" t="s">
        <v>129</v>
      </c>
      <c r="E1053" s="481" t="s">
        <v>322</v>
      </c>
      <c r="F1053" s="481"/>
      <c r="G1053" s="338">
        <f>G1054+G1059+G1062+G1065</f>
        <v>7579.4284999999991</v>
      </c>
      <c r="H1053" s="338">
        <f>H1054+H1059+H1062+H1065</f>
        <v>7576.1391999999996</v>
      </c>
      <c r="I1053" s="338">
        <f t="shared" si="104"/>
        <v>99.956602268891388</v>
      </c>
    </row>
    <row r="1054" spans="1:10" ht="28.15" customHeight="1" x14ac:dyDescent="0.25">
      <c r="A1054" s="335" t="s">
        <v>346</v>
      </c>
      <c r="B1054" s="482">
        <v>907</v>
      </c>
      <c r="C1054" s="268" t="s">
        <v>197</v>
      </c>
      <c r="D1054" s="268" t="s">
        <v>129</v>
      </c>
      <c r="E1054" s="268" t="s">
        <v>323</v>
      </c>
      <c r="F1054" s="268"/>
      <c r="G1054" s="337">
        <f>G1055+G1057</f>
        <v>7470.2149199999994</v>
      </c>
      <c r="H1054" s="337">
        <f>H1055+H1057</f>
        <v>7466.92562</v>
      </c>
      <c r="I1054" s="337">
        <f t="shared" si="104"/>
        <v>99.955967799652015</v>
      </c>
    </row>
    <row r="1055" spans="1:10" ht="78.75" x14ac:dyDescent="0.25">
      <c r="A1055" s="335" t="s">
        <v>84</v>
      </c>
      <c r="B1055" s="482">
        <v>907</v>
      </c>
      <c r="C1055" s="268" t="s">
        <v>197</v>
      </c>
      <c r="D1055" s="268" t="s">
        <v>129</v>
      </c>
      <c r="E1055" s="268" t="s">
        <v>323</v>
      </c>
      <c r="F1055" s="268" t="s">
        <v>85</v>
      </c>
      <c r="G1055" s="337">
        <f>G1056</f>
        <v>7210.1149199999991</v>
      </c>
      <c r="H1055" s="337">
        <f>H1056</f>
        <v>7210.11492</v>
      </c>
      <c r="I1055" s="337">
        <f t="shared" si="104"/>
        <v>100.00000000000003</v>
      </c>
    </row>
    <row r="1056" spans="1:10" ht="31.5" x14ac:dyDescent="0.25">
      <c r="A1056" s="335" t="s">
        <v>86</v>
      </c>
      <c r="B1056" s="482">
        <v>907</v>
      </c>
      <c r="C1056" s="268" t="s">
        <v>197</v>
      </c>
      <c r="D1056" s="268" t="s">
        <v>129</v>
      </c>
      <c r="E1056" s="268" t="s">
        <v>323</v>
      </c>
      <c r="F1056" s="268" t="s">
        <v>87</v>
      </c>
      <c r="G1056" s="271">
        <f>6595.44+72+18.65+88.94+26.86+96.6+28.01406-11.242+294.85286</f>
        <v>7210.1149199999991</v>
      </c>
      <c r="H1056" s="271">
        <v>7210.11492</v>
      </c>
      <c r="I1056" s="337">
        <f t="shared" si="104"/>
        <v>100.00000000000003</v>
      </c>
      <c r="J1056" s="341"/>
    </row>
    <row r="1057" spans="1:10" ht="31.5" x14ac:dyDescent="0.25">
      <c r="A1057" s="335" t="s">
        <v>88</v>
      </c>
      <c r="B1057" s="482">
        <v>907</v>
      </c>
      <c r="C1057" s="268" t="s">
        <v>197</v>
      </c>
      <c r="D1057" s="268" t="s">
        <v>129</v>
      </c>
      <c r="E1057" s="268" t="s">
        <v>323</v>
      </c>
      <c r="F1057" s="268" t="s">
        <v>89</v>
      </c>
      <c r="G1057" s="271">
        <f>G1058</f>
        <v>260.10000000000002</v>
      </c>
      <c r="H1057" s="271">
        <f>H1058</f>
        <v>256.8107</v>
      </c>
      <c r="I1057" s="337">
        <f t="shared" si="104"/>
        <v>98.735371011149553</v>
      </c>
    </row>
    <row r="1058" spans="1:10" ht="31.5" x14ac:dyDescent="0.25">
      <c r="A1058" s="335" t="s">
        <v>90</v>
      </c>
      <c r="B1058" s="482">
        <v>907</v>
      </c>
      <c r="C1058" s="268" t="s">
        <v>197</v>
      </c>
      <c r="D1058" s="268" t="s">
        <v>129</v>
      </c>
      <c r="E1058" s="268" t="s">
        <v>323</v>
      </c>
      <c r="F1058" s="268" t="s">
        <v>91</v>
      </c>
      <c r="G1058" s="271">
        <f>51+61-8.25+75+100-5.65-13</f>
        <v>260.10000000000002</v>
      </c>
      <c r="H1058" s="271">
        <v>256.8107</v>
      </c>
      <c r="I1058" s="337">
        <f t="shared" si="104"/>
        <v>98.735371011149553</v>
      </c>
    </row>
    <row r="1059" spans="1:10" ht="36.75" hidden="1" customHeight="1" x14ac:dyDescent="0.25">
      <c r="A1059" s="335" t="s">
        <v>304</v>
      </c>
      <c r="B1059" s="482">
        <v>907</v>
      </c>
      <c r="C1059" s="268" t="s">
        <v>197</v>
      </c>
      <c r="D1059" s="268" t="s">
        <v>129</v>
      </c>
      <c r="E1059" s="268" t="s">
        <v>325</v>
      </c>
      <c r="F1059" s="268"/>
      <c r="G1059" s="337">
        <f>G1060</f>
        <v>0</v>
      </c>
      <c r="H1059" s="337">
        <f>H1060</f>
        <v>0</v>
      </c>
      <c r="I1059" s="337" t="e">
        <f t="shared" si="104"/>
        <v>#DIV/0!</v>
      </c>
    </row>
    <row r="1060" spans="1:10" ht="78.75" hidden="1" x14ac:dyDescent="0.25">
      <c r="A1060" s="335" t="s">
        <v>84</v>
      </c>
      <c r="B1060" s="482">
        <v>907</v>
      </c>
      <c r="C1060" s="268" t="s">
        <v>197</v>
      </c>
      <c r="D1060" s="268" t="s">
        <v>129</v>
      </c>
      <c r="E1060" s="268" t="s">
        <v>325</v>
      </c>
      <c r="F1060" s="268" t="s">
        <v>85</v>
      </c>
      <c r="G1060" s="337">
        <f>G1061</f>
        <v>0</v>
      </c>
      <c r="H1060" s="337">
        <f>H1061</f>
        <v>0</v>
      </c>
      <c r="I1060" s="337" t="e">
        <f t="shared" si="104"/>
        <v>#DIV/0!</v>
      </c>
    </row>
    <row r="1061" spans="1:10" ht="34.5" hidden="1" customHeight="1" x14ac:dyDescent="0.25">
      <c r="A1061" s="335" t="s">
        <v>86</v>
      </c>
      <c r="B1061" s="482">
        <v>907</v>
      </c>
      <c r="C1061" s="268" t="s">
        <v>197</v>
      </c>
      <c r="D1061" s="268" t="s">
        <v>129</v>
      </c>
      <c r="E1061" s="268" t="s">
        <v>325</v>
      </c>
      <c r="F1061" s="268" t="s">
        <v>87</v>
      </c>
      <c r="G1061" s="337">
        <f>172-100-72</f>
        <v>0</v>
      </c>
      <c r="H1061" s="337"/>
      <c r="I1061" s="337" t="e">
        <f t="shared" si="104"/>
        <v>#DIV/0!</v>
      </c>
      <c r="J1061" s="341"/>
    </row>
    <row r="1062" spans="1:10" ht="34.5" customHeight="1" x14ac:dyDescent="0.25">
      <c r="A1062" s="335" t="s">
        <v>1085</v>
      </c>
      <c r="B1062" s="482">
        <v>907</v>
      </c>
      <c r="C1062" s="268" t="s">
        <v>197</v>
      </c>
      <c r="D1062" s="268" t="s">
        <v>129</v>
      </c>
      <c r="E1062" s="268" t="s">
        <v>1081</v>
      </c>
      <c r="F1062" s="268"/>
      <c r="G1062" s="337">
        <f>G1063</f>
        <v>78.12</v>
      </c>
      <c r="H1062" s="337">
        <f>H1063</f>
        <v>78.12</v>
      </c>
      <c r="I1062" s="337">
        <f t="shared" si="104"/>
        <v>100</v>
      </c>
      <c r="J1062" s="341"/>
    </row>
    <row r="1063" spans="1:10" ht="67.150000000000006" customHeight="1" x14ac:dyDescent="0.25">
      <c r="A1063" s="335" t="s">
        <v>84</v>
      </c>
      <c r="B1063" s="482">
        <v>907</v>
      </c>
      <c r="C1063" s="268" t="s">
        <v>197</v>
      </c>
      <c r="D1063" s="268" t="s">
        <v>129</v>
      </c>
      <c r="E1063" s="268" t="s">
        <v>1081</v>
      </c>
      <c r="F1063" s="268" t="s">
        <v>85</v>
      </c>
      <c r="G1063" s="337">
        <f>G1064</f>
        <v>78.12</v>
      </c>
      <c r="H1063" s="337">
        <f>H1064</f>
        <v>78.12</v>
      </c>
      <c r="I1063" s="337">
        <f t="shared" si="104"/>
        <v>100</v>
      </c>
      <c r="J1063" s="341"/>
    </row>
    <row r="1064" spans="1:10" ht="34.5" customHeight="1" x14ac:dyDescent="0.25">
      <c r="A1064" s="335" t="s">
        <v>86</v>
      </c>
      <c r="B1064" s="482">
        <v>907</v>
      </c>
      <c r="C1064" s="268" t="s">
        <v>197</v>
      </c>
      <c r="D1064" s="268" t="s">
        <v>129</v>
      </c>
      <c r="E1064" s="268" t="s">
        <v>1081</v>
      </c>
      <c r="F1064" s="268" t="s">
        <v>87</v>
      </c>
      <c r="G1064" s="337">
        <v>78.12</v>
      </c>
      <c r="H1064" s="337">
        <v>78.12</v>
      </c>
      <c r="I1064" s="337">
        <f t="shared" si="104"/>
        <v>100</v>
      </c>
      <c r="J1064" s="341"/>
    </row>
    <row r="1065" spans="1:10" ht="47.25" x14ac:dyDescent="0.25">
      <c r="A1065" s="335" t="s">
        <v>1107</v>
      </c>
      <c r="B1065" s="482">
        <v>907</v>
      </c>
      <c r="C1065" s="268" t="s">
        <v>197</v>
      </c>
      <c r="D1065" s="268" t="s">
        <v>129</v>
      </c>
      <c r="E1065" s="268" t="s">
        <v>1106</v>
      </c>
      <c r="F1065" s="268"/>
      <c r="G1065" s="337">
        <f>G1066</f>
        <v>31.093579999999999</v>
      </c>
      <c r="H1065" s="337">
        <f>H1066</f>
        <v>31.093579999999999</v>
      </c>
      <c r="I1065" s="337">
        <f t="shared" si="104"/>
        <v>100</v>
      </c>
      <c r="J1065" s="341"/>
    </row>
    <row r="1066" spans="1:10" ht="66.599999999999994" customHeight="1" x14ac:dyDescent="0.25">
      <c r="A1066" s="335" t="s">
        <v>84</v>
      </c>
      <c r="B1066" s="482">
        <v>907</v>
      </c>
      <c r="C1066" s="268" t="s">
        <v>197</v>
      </c>
      <c r="D1066" s="268" t="s">
        <v>129</v>
      </c>
      <c r="E1066" s="268" t="s">
        <v>1106</v>
      </c>
      <c r="F1066" s="268" t="s">
        <v>85</v>
      </c>
      <c r="G1066" s="337">
        <f>G1067</f>
        <v>31.093579999999999</v>
      </c>
      <c r="H1066" s="337">
        <f>H1067</f>
        <v>31.093579999999999</v>
      </c>
      <c r="I1066" s="337">
        <f t="shared" si="104"/>
        <v>100</v>
      </c>
      <c r="J1066" s="341"/>
    </row>
    <row r="1067" spans="1:10" ht="31.5" x14ac:dyDescent="0.25">
      <c r="A1067" s="335" t="s">
        <v>86</v>
      </c>
      <c r="B1067" s="482">
        <v>907</v>
      </c>
      <c r="C1067" s="268" t="s">
        <v>197</v>
      </c>
      <c r="D1067" s="268" t="s">
        <v>129</v>
      </c>
      <c r="E1067" s="268" t="s">
        <v>1106</v>
      </c>
      <c r="F1067" s="268" t="s">
        <v>87</v>
      </c>
      <c r="G1067" s="337">
        <f>24.1035+6.99008</f>
        <v>31.093579999999999</v>
      </c>
      <c r="H1067" s="337">
        <v>31.093579999999999</v>
      </c>
      <c r="I1067" s="337">
        <f t="shared" si="104"/>
        <v>100</v>
      </c>
    </row>
    <row r="1068" spans="1:10" ht="15.75" x14ac:dyDescent="0.25">
      <c r="A1068" s="116" t="s">
        <v>97</v>
      </c>
      <c r="B1068" s="432">
        <v>907</v>
      </c>
      <c r="C1068" s="481" t="s">
        <v>197</v>
      </c>
      <c r="D1068" s="481" t="s">
        <v>129</v>
      </c>
      <c r="E1068" s="481" t="s">
        <v>329</v>
      </c>
      <c r="F1068" s="481"/>
      <c r="G1068" s="338">
        <f>G1069</f>
        <v>8399.6923600000009</v>
      </c>
      <c r="H1068" s="338">
        <f>H1069</f>
        <v>8399.4980899999991</v>
      </c>
      <c r="I1068" s="338">
        <f t="shared" si="104"/>
        <v>99.997687177200362</v>
      </c>
    </row>
    <row r="1069" spans="1:10" ht="15.75" x14ac:dyDescent="0.25">
      <c r="A1069" s="116" t="s">
        <v>736</v>
      </c>
      <c r="B1069" s="432">
        <v>907</v>
      </c>
      <c r="C1069" s="481" t="s">
        <v>197</v>
      </c>
      <c r="D1069" s="481" t="s">
        <v>129</v>
      </c>
      <c r="E1069" s="481" t="s">
        <v>384</v>
      </c>
      <c r="F1069" s="481"/>
      <c r="G1069" s="338">
        <f>G1070+G1073+G1080+G1083</f>
        <v>8399.6923600000009</v>
      </c>
      <c r="H1069" s="338">
        <f>H1070+H1073+H1080+H1083</f>
        <v>8399.4980899999991</v>
      </c>
      <c r="I1069" s="338">
        <f t="shared" si="104"/>
        <v>99.997687177200362</v>
      </c>
    </row>
    <row r="1070" spans="1:10" ht="31.5" customHeight="1" x14ac:dyDescent="0.25">
      <c r="A1070" s="335" t="s">
        <v>304</v>
      </c>
      <c r="B1070" s="482">
        <v>907</v>
      </c>
      <c r="C1070" s="268" t="s">
        <v>197</v>
      </c>
      <c r="D1070" s="268" t="s">
        <v>129</v>
      </c>
      <c r="E1070" s="268" t="s">
        <v>387</v>
      </c>
      <c r="F1070" s="268"/>
      <c r="G1070" s="337">
        <f>G1071</f>
        <v>365.0598</v>
      </c>
      <c r="H1070" s="337">
        <f>H1071</f>
        <v>365.0598</v>
      </c>
      <c r="I1070" s="337">
        <f t="shared" si="104"/>
        <v>100</v>
      </c>
    </row>
    <row r="1071" spans="1:10" ht="79.5" customHeight="1" x14ac:dyDescent="0.25">
      <c r="A1071" s="335" t="s">
        <v>84</v>
      </c>
      <c r="B1071" s="482">
        <v>907</v>
      </c>
      <c r="C1071" s="268" t="s">
        <v>197</v>
      </c>
      <c r="D1071" s="268" t="s">
        <v>129</v>
      </c>
      <c r="E1071" s="268" t="s">
        <v>387</v>
      </c>
      <c r="F1071" s="268" t="s">
        <v>85</v>
      </c>
      <c r="G1071" s="337">
        <f>G1072</f>
        <v>365.0598</v>
      </c>
      <c r="H1071" s="337">
        <f>H1072</f>
        <v>365.0598</v>
      </c>
      <c r="I1071" s="337">
        <f t="shared" si="104"/>
        <v>100</v>
      </c>
    </row>
    <row r="1072" spans="1:10" ht="24" customHeight="1" x14ac:dyDescent="0.25">
      <c r="A1072" s="335" t="s">
        <v>168</v>
      </c>
      <c r="B1072" s="482">
        <v>907</v>
      </c>
      <c r="C1072" s="268" t="s">
        <v>197</v>
      </c>
      <c r="D1072" s="268" t="s">
        <v>129</v>
      </c>
      <c r="E1072" s="268" t="s">
        <v>387</v>
      </c>
      <c r="F1072" s="268" t="s">
        <v>117</v>
      </c>
      <c r="G1072" s="337">
        <f>387-21.9402</f>
        <v>365.0598</v>
      </c>
      <c r="H1072" s="337">
        <v>365.0598</v>
      </c>
      <c r="I1072" s="337">
        <f t="shared" si="104"/>
        <v>100</v>
      </c>
      <c r="J1072" s="341"/>
    </row>
    <row r="1073" spans="1:10" ht="15.75" x14ac:dyDescent="0.25">
      <c r="A1073" s="335" t="s">
        <v>283</v>
      </c>
      <c r="B1073" s="482">
        <v>907</v>
      </c>
      <c r="C1073" s="268" t="s">
        <v>197</v>
      </c>
      <c r="D1073" s="268" t="s">
        <v>129</v>
      </c>
      <c r="E1073" s="268" t="s">
        <v>386</v>
      </c>
      <c r="F1073" s="268"/>
      <c r="G1073" s="337">
        <f>G1074+G1076+G1078</f>
        <v>7860.7125600000008</v>
      </c>
      <c r="H1073" s="337">
        <f>H1074+H1076+H1078</f>
        <v>7860.51829</v>
      </c>
      <c r="I1073" s="337">
        <f t="shared" si="104"/>
        <v>99.997528595550108</v>
      </c>
    </row>
    <row r="1074" spans="1:10" ht="78.75" x14ac:dyDescent="0.25">
      <c r="A1074" s="335" t="s">
        <v>84</v>
      </c>
      <c r="B1074" s="482">
        <v>907</v>
      </c>
      <c r="C1074" s="268" t="s">
        <v>197</v>
      </c>
      <c r="D1074" s="268" t="s">
        <v>129</v>
      </c>
      <c r="E1074" s="268" t="s">
        <v>386</v>
      </c>
      <c r="F1074" s="268" t="s">
        <v>85</v>
      </c>
      <c r="G1074" s="337">
        <f>G1075</f>
        <v>7757.7100000000009</v>
      </c>
      <c r="H1074" s="337">
        <f>H1075</f>
        <v>7757.5157300000001</v>
      </c>
      <c r="I1074" s="337">
        <f t="shared" si="104"/>
        <v>99.997495781615953</v>
      </c>
    </row>
    <row r="1075" spans="1:10" ht="27" customHeight="1" x14ac:dyDescent="0.25">
      <c r="A1075" s="335" t="s">
        <v>168</v>
      </c>
      <c r="B1075" s="482">
        <v>907</v>
      </c>
      <c r="C1075" s="268" t="s">
        <v>197</v>
      </c>
      <c r="D1075" s="268" t="s">
        <v>129</v>
      </c>
      <c r="E1075" s="268" t="s">
        <v>386</v>
      </c>
      <c r="F1075" s="268" t="s">
        <v>117</v>
      </c>
      <c r="G1075" s="337">
        <f>7651.76+8.25-2.9+100.6</f>
        <v>7757.7100000000009</v>
      </c>
      <c r="H1075" s="337">
        <v>7757.5157300000001</v>
      </c>
      <c r="I1075" s="337">
        <f t="shared" si="104"/>
        <v>99.997495781615953</v>
      </c>
      <c r="J1075" s="341"/>
    </row>
    <row r="1076" spans="1:10" ht="31.5" x14ac:dyDescent="0.25">
      <c r="A1076" s="335" t="s">
        <v>88</v>
      </c>
      <c r="B1076" s="482">
        <v>907</v>
      </c>
      <c r="C1076" s="268" t="s">
        <v>197</v>
      </c>
      <c r="D1076" s="268" t="s">
        <v>129</v>
      </c>
      <c r="E1076" s="268" t="s">
        <v>386</v>
      </c>
      <c r="F1076" s="268" t="s">
        <v>89</v>
      </c>
      <c r="G1076" s="337">
        <f>G1077</f>
        <v>103</v>
      </c>
      <c r="H1076" s="337">
        <f>H1077</f>
        <v>103</v>
      </c>
      <c r="I1076" s="337">
        <f t="shared" si="104"/>
        <v>100</v>
      </c>
    </row>
    <row r="1077" spans="1:10" ht="31.5" x14ac:dyDescent="0.25">
      <c r="A1077" s="335" t="s">
        <v>90</v>
      </c>
      <c r="B1077" s="482">
        <v>907</v>
      </c>
      <c r="C1077" s="268" t="s">
        <v>197</v>
      </c>
      <c r="D1077" s="268" t="s">
        <v>129</v>
      </c>
      <c r="E1077" s="268" t="s">
        <v>386</v>
      </c>
      <c r="F1077" s="268" t="s">
        <v>91</v>
      </c>
      <c r="G1077" s="337">
        <f>290-112-75</f>
        <v>103</v>
      </c>
      <c r="H1077" s="337">
        <v>103</v>
      </c>
      <c r="I1077" s="337">
        <f t="shared" si="104"/>
        <v>100</v>
      </c>
    </row>
    <row r="1078" spans="1:10" ht="36.75" customHeight="1" x14ac:dyDescent="0.25">
      <c r="A1078" s="335" t="s">
        <v>92</v>
      </c>
      <c r="B1078" s="482">
        <v>907</v>
      </c>
      <c r="C1078" s="268" t="s">
        <v>197</v>
      </c>
      <c r="D1078" s="268" t="s">
        <v>129</v>
      </c>
      <c r="E1078" s="268" t="s">
        <v>386</v>
      </c>
      <c r="F1078" s="268" t="s">
        <v>98</v>
      </c>
      <c r="G1078" s="337">
        <f>G1079</f>
        <v>2.5599999999998957E-3</v>
      </c>
      <c r="H1078" s="337">
        <f>H1079</f>
        <v>2.5600000000000002E-3</v>
      </c>
      <c r="I1078" s="337">
        <f t="shared" si="104"/>
        <v>100.00000000000409</v>
      </c>
    </row>
    <row r="1079" spans="1:10" ht="34.5" customHeight="1" x14ac:dyDescent="0.25">
      <c r="A1079" s="335" t="s">
        <v>223</v>
      </c>
      <c r="B1079" s="576">
        <v>907</v>
      </c>
      <c r="C1079" s="334" t="s">
        <v>197</v>
      </c>
      <c r="D1079" s="334" t="s">
        <v>129</v>
      </c>
      <c r="E1079" s="334" t="s">
        <v>386</v>
      </c>
      <c r="F1079" s="334" t="s">
        <v>94</v>
      </c>
      <c r="G1079" s="329">
        <f>15-10-4.99744</f>
        <v>2.5599999999998957E-3</v>
      </c>
      <c r="H1079" s="329">
        <v>2.5600000000000002E-3</v>
      </c>
      <c r="I1079" s="337">
        <f t="shared" si="104"/>
        <v>100.00000000000409</v>
      </c>
    </row>
    <row r="1080" spans="1:10" ht="31.5" x14ac:dyDescent="0.25">
      <c r="A1080" s="335" t="s">
        <v>1085</v>
      </c>
      <c r="B1080" s="482">
        <v>907</v>
      </c>
      <c r="C1080" s="268" t="s">
        <v>197</v>
      </c>
      <c r="D1080" s="268" t="s">
        <v>129</v>
      </c>
      <c r="E1080" s="268" t="s">
        <v>1083</v>
      </c>
      <c r="F1080" s="268"/>
      <c r="G1080" s="337">
        <f t="shared" ref="G1080:H1081" si="108">G1081</f>
        <v>39.06</v>
      </c>
      <c r="H1080" s="337">
        <f t="shared" si="108"/>
        <v>39.06</v>
      </c>
      <c r="I1080" s="337">
        <f t="shared" si="104"/>
        <v>100</v>
      </c>
    </row>
    <row r="1081" spans="1:10" ht="78.75" x14ac:dyDescent="0.25">
      <c r="A1081" s="335" t="s">
        <v>84</v>
      </c>
      <c r="B1081" s="482">
        <v>907</v>
      </c>
      <c r="C1081" s="268" t="s">
        <v>197</v>
      </c>
      <c r="D1081" s="268" t="s">
        <v>129</v>
      </c>
      <c r="E1081" s="268" t="s">
        <v>1083</v>
      </c>
      <c r="F1081" s="268" t="s">
        <v>85</v>
      </c>
      <c r="G1081" s="337">
        <f t="shared" si="108"/>
        <v>39.06</v>
      </c>
      <c r="H1081" s="337">
        <f t="shared" si="108"/>
        <v>39.06</v>
      </c>
      <c r="I1081" s="337">
        <f t="shared" si="104"/>
        <v>100</v>
      </c>
    </row>
    <row r="1082" spans="1:10" ht="15.75" x14ac:dyDescent="0.25">
      <c r="A1082" s="335" t="s">
        <v>168</v>
      </c>
      <c r="B1082" s="482">
        <v>907</v>
      </c>
      <c r="C1082" s="268" t="s">
        <v>197</v>
      </c>
      <c r="D1082" s="268" t="s">
        <v>129</v>
      </c>
      <c r="E1082" s="268" t="s">
        <v>1083</v>
      </c>
      <c r="F1082" s="268" t="s">
        <v>117</v>
      </c>
      <c r="G1082" s="337">
        <v>39.06</v>
      </c>
      <c r="H1082" s="337">
        <v>39.06</v>
      </c>
      <c r="I1082" s="337">
        <f t="shared" si="104"/>
        <v>100</v>
      </c>
    </row>
    <row r="1083" spans="1:10" ht="31.5" x14ac:dyDescent="0.25">
      <c r="A1083" s="335" t="s">
        <v>1118</v>
      </c>
      <c r="B1083" s="482">
        <v>907</v>
      </c>
      <c r="C1083" s="268" t="s">
        <v>197</v>
      </c>
      <c r="D1083" s="268" t="s">
        <v>129</v>
      </c>
      <c r="E1083" s="268" t="s">
        <v>1119</v>
      </c>
      <c r="F1083" s="268"/>
      <c r="G1083" s="337">
        <f>G1084</f>
        <v>134.86000000000001</v>
      </c>
      <c r="H1083" s="337">
        <f>H1084</f>
        <v>134.86000000000001</v>
      </c>
      <c r="I1083" s="337">
        <f t="shared" si="104"/>
        <v>100</v>
      </c>
    </row>
    <row r="1084" spans="1:10" ht="78.75" x14ac:dyDescent="0.25">
      <c r="A1084" s="335" t="s">
        <v>84</v>
      </c>
      <c r="B1084" s="482">
        <v>907</v>
      </c>
      <c r="C1084" s="268" t="s">
        <v>197</v>
      </c>
      <c r="D1084" s="268" t="s">
        <v>129</v>
      </c>
      <c r="E1084" s="268" t="s">
        <v>1119</v>
      </c>
      <c r="F1084" s="268" t="s">
        <v>85</v>
      </c>
      <c r="G1084" s="337">
        <f>G1085</f>
        <v>134.86000000000001</v>
      </c>
      <c r="H1084" s="337">
        <f>H1085</f>
        <v>134.86000000000001</v>
      </c>
      <c r="I1084" s="337">
        <f t="shared" si="104"/>
        <v>100</v>
      </c>
    </row>
    <row r="1085" spans="1:10" ht="15.75" x14ac:dyDescent="0.25">
      <c r="A1085" s="335" t="s">
        <v>168</v>
      </c>
      <c r="B1085" s="482">
        <v>907</v>
      </c>
      <c r="C1085" s="268" t="s">
        <v>197</v>
      </c>
      <c r="D1085" s="268" t="s">
        <v>129</v>
      </c>
      <c r="E1085" s="268" t="s">
        <v>1119</v>
      </c>
      <c r="F1085" s="268" t="s">
        <v>117</v>
      </c>
      <c r="G1085" s="337">
        <f>103.58+31.28</f>
        <v>134.86000000000001</v>
      </c>
      <c r="H1085" s="337">
        <v>134.86000000000001</v>
      </c>
      <c r="I1085" s="337">
        <f t="shared" si="104"/>
        <v>100</v>
      </c>
    </row>
    <row r="1086" spans="1:10" ht="47.25" x14ac:dyDescent="0.25">
      <c r="A1086" s="130" t="s">
        <v>888</v>
      </c>
      <c r="B1086" s="432">
        <v>907</v>
      </c>
      <c r="C1086" s="481" t="s">
        <v>197</v>
      </c>
      <c r="D1086" s="481" t="s">
        <v>129</v>
      </c>
      <c r="E1086" s="484" t="s">
        <v>195</v>
      </c>
      <c r="F1086" s="481"/>
      <c r="G1086" s="338">
        <f>G1087</f>
        <v>3500</v>
      </c>
      <c r="H1086" s="338">
        <f>H1087</f>
        <v>3497.8330000000001</v>
      </c>
      <c r="I1086" s="338">
        <f t="shared" si="104"/>
        <v>99.93808571428572</v>
      </c>
    </row>
    <row r="1087" spans="1:10" ht="31.5" x14ac:dyDescent="0.25">
      <c r="A1087" s="30" t="s">
        <v>382</v>
      </c>
      <c r="B1087" s="432">
        <v>907</v>
      </c>
      <c r="C1087" s="481" t="s">
        <v>197</v>
      </c>
      <c r="D1087" s="481" t="s">
        <v>129</v>
      </c>
      <c r="E1087" s="484" t="s">
        <v>606</v>
      </c>
      <c r="F1087" s="481"/>
      <c r="G1087" s="338">
        <f>G1088</f>
        <v>3500</v>
      </c>
      <c r="H1087" s="338">
        <f>H1088</f>
        <v>3497.8330000000001</v>
      </c>
      <c r="I1087" s="338">
        <f t="shared" si="104"/>
        <v>99.93808571428572</v>
      </c>
    </row>
    <row r="1088" spans="1:10" ht="15.75" x14ac:dyDescent="0.25">
      <c r="A1088" s="19" t="s">
        <v>383</v>
      </c>
      <c r="B1088" s="482">
        <v>907</v>
      </c>
      <c r="C1088" s="268" t="s">
        <v>197</v>
      </c>
      <c r="D1088" s="268" t="s">
        <v>129</v>
      </c>
      <c r="E1088" s="485" t="s">
        <v>607</v>
      </c>
      <c r="F1088" s="268"/>
      <c r="G1088" s="337">
        <f>G1089+G1091</f>
        <v>3500</v>
      </c>
      <c r="H1088" s="337">
        <f>H1089+H1091</f>
        <v>3497.8330000000001</v>
      </c>
      <c r="I1088" s="337">
        <f t="shared" si="104"/>
        <v>99.93808571428572</v>
      </c>
    </row>
    <row r="1089" spans="1:10" ht="78.75" x14ac:dyDescent="0.25">
      <c r="A1089" s="335" t="s">
        <v>84</v>
      </c>
      <c r="B1089" s="482">
        <v>907</v>
      </c>
      <c r="C1089" s="268" t="s">
        <v>197</v>
      </c>
      <c r="D1089" s="268" t="s">
        <v>129</v>
      </c>
      <c r="E1089" s="485" t="s">
        <v>607</v>
      </c>
      <c r="F1089" s="268" t="s">
        <v>85</v>
      </c>
      <c r="G1089" s="337">
        <f>G1090</f>
        <v>2943.08</v>
      </c>
      <c r="H1089" s="337">
        <f>H1090</f>
        <v>2943.08</v>
      </c>
      <c r="I1089" s="337">
        <f t="shared" si="104"/>
        <v>100</v>
      </c>
    </row>
    <row r="1090" spans="1:10" ht="15.75" x14ac:dyDescent="0.25">
      <c r="A1090" s="335" t="s">
        <v>168</v>
      </c>
      <c r="B1090" s="482">
        <v>907</v>
      </c>
      <c r="C1090" s="268" t="s">
        <v>197</v>
      </c>
      <c r="D1090" s="268" t="s">
        <v>129</v>
      </c>
      <c r="E1090" s="485" t="s">
        <v>607</v>
      </c>
      <c r="F1090" s="268" t="s">
        <v>117</v>
      </c>
      <c r="G1090" s="337">
        <f>2500+500-56.92</f>
        <v>2943.08</v>
      </c>
      <c r="H1090" s="337">
        <v>2943.08</v>
      </c>
      <c r="I1090" s="337">
        <f t="shared" si="104"/>
        <v>100</v>
      </c>
    </row>
    <row r="1091" spans="1:10" ht="31.5" x14ac:dyDescent="0.25">
      <c r="A1091" s="19" t="s">
        <v>88</v>
      </c>
      <c r="B1091" s="482">
        <v>907</v>
      </c>
      <c r="C1091" s="268" t="s">
        <v>197</v>
      </c>
      <c r="D1091" s="268" t="s">
        <v>129</v>
      </c>
      <c r="E1091" s="485" t="s">
        <v>607</v>
      </c>
      <c r="F1091" s="268" t="s">
        <v>89</v>
      </c>
      <c r="G1091" s="337">
        <f>G1092</f>
        <v>556.91999999999996</v>
      </c>
      <c r="H1091" s="337">
        <f>H1092</f>
        <v>554.75300000000004</v>
      </c>
      <c r="I1091" s="337">
        <f t="shared" si="104"/>
        <v>99.610895640307419</v>
      </c>
    </row>
    <row r="1092" spans="1:10" ht="31.5" x14ac:dyDescent="0.25">
      <c r="A1092" s="19" t="s">
        <v>90</v>
      </c>
      <c r="B1092" s="482">
        <v>907</v>
      </c>
      <c r="C1092" s="268" t="s">
        <v>197</v>
      </c>
      <c r="D1092" s="268" t="s">
        <v>129</v>
      </c>
      <c r="E1092" s="485" t="s">
        <v>607</v>
      </c>
      <c r="F1092" s="268" t="s">
        <v>91</v>
      </c>
      <c r="G1092" s="337">
        <f>500+56.92</f>
        <v>556.91999999999996</v>
      </c>
      <c r="H1092" s="337">
        <v>554.75300000000004</v>
      </c>
      <c r="I1092" s="337">
        <f t="shared" si="104"/>
        <v>99.610895640307419</v>
      </c>
      <c r="J1092" s="341"/>
    </row>
    <row r="1093" spans="1:10" ht="31.5" x14ac:dyDescent="0.25">
      <c r="A1093" s="115" t="s">
        <v>1003</v>
      </c>
      <c r="B1093" s="432">
        <v>908</v>
      </c>
      <c r="C1093" s="268"/>
      <c r="D1093" s="268"/>
      <c r="E1093" s="268"/>
      <c r="F1093" s="268"/>
      <c r="G1093" s="338">
        <f>G1118+G1125+G1149+G1386+G1094+G1372+G1379</f>
        <v>222272.08642999997</v>
      </c>
      <c r="H1093" s="338">
        <f>H1118+H1125+H1149+H1386+H1094+H1372+H1379</f>
        <v>221686.54108</v>
      </c>
      <c r="I1093" s="338">
        <f t="shared" si="104"/>
        <v>99.736563704689758</v>
      </c>
    </row>
    <row r="1094" spans="1:10" ht="15.75" x14ac:dyDescent="0.25">
      <c r="A1094" s="22" t="s">
        <v>80</v>
      </c>
      <c r="B1094" s="432">
        <v>908</v>
      </c>
      <c r="C1094" s="481" t="s">
        <v>81</v>
      </c>
      <c r="D1094" s="268"/>
      <c r="E1094" s="268"/>
      <c r="F1094" s="268"/>
      <c r="G1094" s="338">
        <f t="shared" ref="G1094:H1095" si="109">G1095</f>
        <v>66120.668049999993</v>
      </c>
      <c r="H1094" s="338">
        <f t="shared" si="109"/>
        <v>65916.115449999998</v>
      </c>
      <c r="I1094" s="338">
        <f t="shared" si="104"/>
        <v>99.690637426945969</v>
      </c>
    </row>
    <row r="1095" spans="1:10" ht="15.75" x14ac:dyDescent="0.25">
      <c r="A1095" s="22" t="s">
        <v>95</v>
      </c>
      <c r="B1095" s="432">
        <v>908</v>
      </c>
      <c r="C1095" s="481" t="s">
        <v>81</v>
      </c>
      <c r="D1095" s="481" t="s">
        <v>96</v>
      </c>
      <c r="E1095" s="268"/>
      <c r="F1095" s="268"/>
      <c r="G1095" s="338">
        <f t="shared" si="109"/>
        <v>66120.668049999993</v>
      </c>
      <c r="H1095" s="338">
        <f t="shared" si="109"/>
        <v>65916.115449999998</v>
      </c>
      <c r="I1095" s="338">
        <f t="shared" si="104"/>
        <v>99.690637426945969</v>
      </c>
    </row>
    <row r="1096" spans="1:10" ht="21.2" customHeight="1" x14ac:dyDescent="0.25">
      <c r="A1096" s="116" t="s">
        <v>97</v>
      </c>
      <c r="B1096" s="432">
        <v>908</v>
      </c>
      <c r="C1096" s="481" t="s">
        <v>81</v>
      </c>
      <c r="D1096" s="481" t="s">
        <v>96</v>
      </c>
      <c r="E1096" s="481" t="s">
        <v>329</v>
      </c>
      <c r="F1096" s="481"/>
      <c r="G1096" s="273">
        <f>G1097</f>
        <v>66120.668049999993</v>
      </c>
      <c r="H1096" s="273">
        <f>H1097</f>
        <v>65916.115449999998</v>
      </c>
      <c r="I1096" s="338">
        <f t="shared" si="104"/>
        <v>99.690637426945969</v>
      </c>
    </row>
    <row r="1097" spans="1:10" ht="15.75" x14ac:dyDescent="0.25">
      <c r="A1097" s="116" t="s">
        <v>385</v>
      </c>
      <c r="B1097" s="432">
        <v>908</v>
      </c>
      <c r="C1097" s="481" t="s">
        <v>81</v>
      </c>
      <c r="D1097" s="481" t="s">
        <v>96</v>
      </c>
      <c r="E1097" s="481" t="s">
        <v>384</v>
      </c>
      <c r="F1097" s="481"/>
      <c r="G1097" s="273">
        <f>G1098+G1101+G1109+G1115+G1112</f>
        <v>66120.668049999993</v>
      </c>
      <c r="H1097" s="273">
        <f>H1098+H1101+H1109+H1115+H1112</f>
        <v>65916.115449999998</v>
      </c>
      <c r="I1097" s="338">
        <f t="shared" si="104"/>
        <v>99.690637426945969</v>
      </c>
    </row>
    <row r="1098" spans="1:10" ht="31.5" x14ac:dyDescent="0.25">
      <c r="A1098" s="335" t="s">
        <v>304</v>
      </c>
      <c r="B1098" s="482">
        <v>908</v>
      </c>
      <c r="C1098" s="268" t="s">
        <v>81</v>
      </c>
      <c r="D1098" s="268" t="s">
        <v>96</v>
      </c>
      <c r="E1098" s="268" t="s">
        <v>387</v>
      </c>
      <c r="F1098" s="268"/>
      <c r="G1098" s="337">
        <f>G1099</f>
        <v>446.89514999999989</v>
      </c>
      <c r="H1098" s="337">
        <f>H1099</f>
        <v>446.89515</v>
      </c>
      <c r="I1098" s="337">
        <f t="shared" si="104"/>
        <v>100.00000000000003</v>
      </c>
    </row>
    <row r="1099" spans="1:10" ht="78.75" x14ac:dyDescent="0.25">
      <c r="A1099" s="335" t="s">
        <v>84</v>
      </c>
      <c r="B1099" s="482">
        <v>908</v>
      </c>
      <c r="C1099" s="268" t="s">
        <v>81</v>
      </c>
      <c r="D1099" s="268" t="s">
        <v>96</v>
      </c>
      <c r="E1099" s="268" t="s">
        <v>387</v>
      </c>
      <c r="F1099" s="268" t="s">
        <v>85</v>
      </c>
      <c r="G1099" s="337">
        <f>G1100</f>
        <v>446.89514999999989</v>
      </c>
      <c r="H1099" s="337">
        <f>H1100</f>
        <v>446.89515</v>
      </c>
      <c r="I1099" s="337">
        <f t="shared" si="104"/>
        <v>100.00000000000003</v>
      </c>
    </row>
    <row r="1100" spans="1:10" ht="31.5" x14ac:dyDescent="0.25">
      <c r="A1100" s="335" t="s">
        <v>86</v>
      </c>
      <c r="B1100" s="482">
        <v>908</v>
      </c>
      <c r="C1100" s="268" t="s">
        <v>81</v>
      </c>
      <c r="D1100" s="268" t="s">
        <v>96</v>
      </c>
      <c r="E1100" s="268" t="s">
        <v>387</v>
      </c>
      <c r="F1100" s="268" t="s">
        <v>117</v>
      </c>
      <c r="G1100" s="337">
        <f>1118-43.4-15-700-2+53.6669+35.62825</f>
        <v>446.89514999999989</v>
      </c>
      <c r="H1100" s="337">
        <v>446.89515</v>
      </c>
      <c r="I1100" s="337">
        <f t="shared" ref="I1100:I1163" si="110">H1100/G1100*100</f>
        <v>100.00000000000003</v>
      </c>
    </row>
    <row r="1101" spans="1:10" ht="15.75" x14ac:dyDescent="0.25">
      <c r="A1101" s="335" t="s">
        <v>283</v>
      </c>
      <c r="B1101" s="482">
        <v>908</v>
      </c>
      <c r="C1101" s="268" t="s">
        <v>81</v>
      </c>
      <c r="D1101" s="268" t="s">
        <v>96</v>
      </c>
      <c r="E1101" s="268" t="s">
        <v>386</v>
      </c>
      <c r="F1101" s="268"/>
      <c r="G1101" s="271">
        <f>G1102+G1104+G1106</f>
        <v>64807.16483999999</v>
      </c>
      <c r="H1101" s="271">
        <f>H1102+H1104+H1106</f>
        <v>64602.612240000002</v>
      </c>
      <c r="I1101" s="337">
        <f t="shared" si="110"/>
        <v>99.684367306446759</v>
      </c>
    </row>
    <row r="1102" spans="1:10" ht="77.25" customHeight="1" x14ac:dyDescent="0.25">
      <c r="A1102" s="335" t="s">
        <v>84</v>
      </c>
      <c r="B1102" s="482">
        <v>908</v>
      </c>
      <c r="C1102" s="268" t="s">
        <v>81</v>
      </c>
      <c r="D1102" s="268" t="s">
        <v>96</v>
      </c>
      <c r="E1102" s="268" t="s">
        <v>386</v>
      </c>
      <c r="F1102" s="268" t="s">
        <v>85</v>
      </c>
      <c r="G1102" s="271">
        <f>G1103</f>
        <v>44442.718949999995</v>
      </c>
      <c r="H1102" s="271">
        <f>H1103</f>
        <v>44319.706160000002</v>
      </c>
      <c r="I1102" s="337">
        <f t="shared" si="110"/>
        <v>99.723210476527342</v>
      </c>
    </row>
    <row r="1103" spans="1:10" ht="19.5" customHeight="1" x14ac:dyDescent="0.25">
      <c r="A1103" s="336" t="s">
        <v>168</v>
      </c>
      <c r="B1103" s="482">
        <v>908</v>
      </c>
      <c r="C1103" s="268" t="s">
        <v>81</v>
      </c>
      <c r="D1103" s="268" t="s">
        <v>96</v>
      </c>
      <c r="E1103" s="268" t="s">
        <v>386</v>
      </c>
      <c r="F1103" s="268" t="s">
        <v>117</v>
      </c>
      <c r="G1103" s="271">
        <f>42910+2+6+629.5+190.2+350+2-3771.85582+3771.85582+350.51895+2.5</f>
        <v>44442.718949999995</v>
      </c>
      <c r="H1103" s="271">
        <v>44319.706160000002</v>
      </c>
      <c r="I1103" s="337">
        <f t="shared" si="110"/>
        <v>99.723210476527342</v>
      </c>
    </row>
    <row r="1104" spans="1:10" ht="32.25" customHeight="1" x14ac:dyDescent="0.25">
      <c r="A1104" s="335" t="s">
        <v>88</v>
      </c>
      <c r="B1104" s="482">
        <v>908</v>
      </c>
      <c r="C1104" s="268" t="s">
        <v>81</v>
      </c>
      <c r="D1104" s="268" t="s">
        <v>96</v>
      </c>
      <c r="E1104" s="268" t="s">
        <v>386</v>
      </c>
      <c r="F1104" s="268" t="s">
        <v>89</v>
      </c>
      <c r="G1104" s="271">
        <f>G1105</f>
        <v>19489.191889999995</v>
      </c>
      <c r="H1104" s="271">
        <f>H1105</f>
        <v>19407.65208</v>
      </c>
      <c r="I1104" s="337">
        <f t="shared" si="110"/>
        <v>99.581615233406197</v>
      </c>
    </row>
    <row r="1105" spans="1:10" ht="39.75" customHeight="1" x14ac:dyDescent="0.25">
      <c r="A1105" s="335" t="s">
        <v>90</v>
      </c>
      <c r="B1105" s="482">
        <v>908</v>
      </c>
      <c r="C1105" s="268" t="s">
        <v>81</v>
      </c>
      <c r="D1105" s="268" t="s">
        <v>96</v>
      </c>
      <c r="E1105" s="268" t="s">
        <v>386</v>
      </c>
      <c r="F1105" s="268" t="s">
        <v>91</v>
      </c>
      <c r="G1105" s="271">
        <f>14466.91-136.8+134.8-1+1-54+48+800+246.5+15+197.2+857.8+500+800+997.7+500+10+612.35-109.6+37.5+578.35-200-100-37.5-48.12825-175.092+100+15-94.471-13.21304-1.23241-131.24373-1.5466-0.15-507.91835-0.66389+203.28288-19.64172</f>
        <v>19489.191889999995</v>
      </c>
      <c r="H1105" s="271">
        <v>19407.65208</v>
      </c>
      <c r="I1105" s="337">
        <f t="shared" si="110"/>
        <v>99.581615233406197</v>
      </c>
      <c r="J1105" s="331"/>
    </row>
    <row r="1106" spans="1:10" ht="15.75" x14ac:dyDescent="0.25">
      <c r="A1106" s="335" t="s">
        <v>92</v>
      </c>
      <c r="B1106" s="482">
        <v>908</v>
      </c>
      <c r="C1106" s="268" t="s">
        <v>81</v>
      </c>
      <c r="D1106" s="268" t="s">
        <v>96</v>
      </c>
      <c r="E1106" s="268" t="s">
        <v>386</v>
      </c>
      <c r="F1106" s="268" t="s">
        <v>98</v>
      </c>
      <c r="G1106" s="271">
        <f>G1108+G1107</f>
        <v>875.25400000000002</v>
      </c>
      <c r="H1106" s="271">
        <f>H1108+H1107</f>
        <v>875.25400000000002</v>
      </c>
      <c r="I1106" s="337">
        <f t="shared" si="110"/>
        <v>100</v>
      </c>
    </row>
    <row r="1107" spans="1:10" ht="15.75" hidden="1" x14ac:dyDescent="0.25">
      <c r="A1107" s="335" t="s">
        <v>99</v>
      </c>
      <c r="B1107" s="482">
        <v>908</v>
      </c>
      <c r="C1107" s="268" t="s">
        <v>81</v>
      </c>
      <c r="D1107" s="268" t="s">
        <v>96</v>
      </c>
      <c r="E1107" s="268" t="s">
        <v>386</v>
      </c>
      <c r="F1107" s="268" t="s">
        <v>100</v>
      </c>
      <c r="G1107" s="271">
        <f>30+2-32</f>
        <v>0</v>
      </c>
      <c r="H1107" s="271">
        <f>30+2-32</f>
        <v>0</v>
      </c>
      <c r="I1107" s="337" t="e">
        <f t="shared" si="110"/>
        <v>#DIV/0!</v>
      </c>
    </row>
    <row r="1108" spans="1:10" ht="27" customHeight="1" x14ac:dyDescent="0.25">
      <c r="A1108" s="335" t="s">
        <v>258</v>
      </c>
      <c r="B1108" s="482">
        <v>908</v>
      </c>
      <c r="C1108" s="268" t="s">
        <v>81</v>
      </c>
      <c r="D1108" s="268" t="s">
        <v>96</v>
      </c>
      <c r="E1108" s="268" t="s">
        <v>386</v>
      </c>
      <c r="F1108" s="268" t="s">
        <v>94</v>
      </c>
      <c r="G1108" s="271">
        <f>447.42+43.4+50+300+72.1-39.717-7.9+10-0.049</f>
        <v>875.25400000000002</v>
      </c>
      <c r="H1108" s="271">
        <v>875.25400000000002</v>
      </c>
      <c r="I1108" s="337">
        <f t="shared" si="110"/>
        <v>100</v>
      </c>
    </row>
    <row r="1109" spans="1:10" ht="31.9" customHeight="1" x14ac:dyDescent="0.25">
      <c r="A1109" s="335" t="s">
        <v>1085</v>
      </c>
      <c r="B1109" s="482">
        <v>908</v>
      </c>
      <c r="C1109" s="268" t="s">
        <v>81</v>
      </c>
      <c r="D1109" s="268" t="s">
        <v>96</v>
      </c>
      <c r="E1109" s="268" t="s">
        <v>1083</v>
      </c>
      <c r="F1109" s="268"/>
      <c r="G1109" s="337">
        <f t="shared" ref="G1109:H1110" si="111">G1110</f>
        <v>78.12</v>
      </c>
      <c r="H1109" s="337">
        <f t="shared" si="111"/>
        <v>78.12</v>
      </c>
      <c r="I1109" s="337">
        <f t="shared" si="110"/>
        <v>100</v>
      </c>
    </row>
    <row r="1110" spans="1:10" ht="70.900000000000006" customHeight="1" x14ac:dyDescent="0.25">
      <c r="A1110" s="335" t="s">
        <v>84</v>
      </c>
      <c r="B1110" s="482">
        <v>908</v>
      </c>
      <c r="C1110" s="268" t="s">
        <v>81</v>
      </c>
      <c r="D1110" s="268" t="s">
        <v>96</v>
      </c>
      <c r="E1110" s="268" t="s">
        <v>1083</v>
      </c>
      <c r="F1110" s="268" t="s">
        <v>85</v>
      </c>
      <c r="G1110" s="337">
        <f t="shared" si="111"/>
        <v>78.12</v>
      </c>
      <c r="H1110" s="337">
        <f t="shared" si="111"/>
        <v>78.12</v>
      </c>
      <c r="I1110" s="337">
        <f t="shared" si="110"/>
        <v>100</v>
      </c>
    </row>
    <row r="1111" spans="1:10" ht="27" customHeight="1" x14ac:dyDescent="0.25">
      <c r="A1111" s="335" t="s">
        <v>168</v>
      </c>
      <c r="B1111" s="482">
        <v>908</v>
      </c>
      <c r="C1111" s="268" t="s">
        <v>81</v>
      </c>
      <c r="D1111" s="268" t="s">
        <v>96</v>
      </c>
      <c r="E1111" s="268" t="s">
        <v>1083</v>
      </c>
      <c r="F1111" s="268" t="s">
        <v>117</v>
      </c>
      <c r="G1111" s="337">
        <v>78.12</v>
      </c>
      <c r="H1111" s="337">
        <v>78.12</v>
      </c>
      <c r="I1111" s="337">
        <f t="shared" si="110"/>
        <v>100</v>
      </c>
    </row>
    <row r="1112" spans="1:10" ht="31.5" x14ac:dyDescent="0.25">
      <c r="A1112" s="335" t="s">
        <v>1118</v>
      </c>
      <c r="B1112" s="482">
        <v>908</v>
      </c>
      <c r="C1112" s="268" t="s">
        <v>81</v>
      </c>
      <c r="D1112" s="268" t="s">
        <v>96</v>
      </c>
      <c r="E1112" s="268" t="s">
        <v>1119</v>
      </c>
      <c r="F1112" s="268"/>
      <c r="G1112" s="337">
        <f>G1113</f>
        <v>758.79</v>
      </c>
      <c r="H1112" s="337">
        <f>H1113</f>
        <v>758.79</v>
      </c>
      <c r="I1112" s="337">
        <f t="shared" si="110"/>
        <v>100</v>
      </c>
      <c r="J1112" s="333"/>
    </row>
    <row r="1113" spans="1:10" ht="67.5" customHeight="1" x14ac:dyDescent="0.25">
      <c r="A1113" s="335" t="s">
        <v>84</v>
      </c>
      <c r="B1113" s="482">
        <v>908</v>
      </c>
      <c r="C1113" s="268" t="s">
        <v>81</v>
      </c>
      <c r="D1113" s="268" t="s">
        <v>96</v>
      </c>
      <c r="E1113" s="268" t="s">
        <v>1119</v>
      </c>
      <c r="F1113" s="268" t="s">
        <v>85</v>
      </c>
      <c r="G1113" s="337">
        <f>G1114</f>
        <v>758.79</v>
      </c>
      <c r="H1113" s="337">
        <f>H1114</f>
        <v>758.79</v>
      </c>
      <c r="I1113" s="337">
        <f t="shared" si="110"/>
        <v>100</v>
      </c>
      <c r="J1113" s="333"/>
    </row>
    <row r="1114" spans="1:10" ht="15.75" x14ac:dyDescent="0.25">
      <c r="A1114" s="335" t="s">
        <v>168</v>
      </c>
      <c r="B1114" s="482">
        <v>908</v>
      </c>
      <c r="C1114" s="268" t="s">
        <v>81</v>
      </c>
      <c r="D1114" s="268" t="s">
        <v>96</v>
      </c>
      <c r="E1114" s="268" t="s">
        <v>1119</v>
      </c>
      <c r="F1114" s="268" t="s">
        <v>117</v>
      </c>
      <c r="G1114" s="337">
        <f>582.79+176</f>
        <v>758.79</v>
      </c>
      <c r="H1114" s="337">
        <v>758.79</v>
      </c>
      <c r="I1114" s="337">
        <f t="shared" si="110"/>
        <v>100</v>
      </c>
    </row>
    <row r="1115" spans="1:10" ht="47.25" x14ac:dyDescent="0.25">
      <c r="A1115" s="335" t="s">
        <v>1107</v>
      </c>
      <c r="B1115" s="482">
        <v>908</v>
      </c>
      <c r="C1115" s="268" t="s">
        <v>81</v>
      </c>
      <c r="D1115" s="268" t="s">
        <v>96</v>
      </c>
      <c r="E1115" s="268" t="s">
        <v>1114</v>
      </c>
      <c r="F1115" s="268"/>
      <c r="G1115" s="337">
        <f>G1116</f>
        <v>29.698060000000002</v>
      </c>
      <c r="H1115" s="337">
        <f>H1116</f>
        <v>29.698060000000002</v>
      </c>
      <c r="I1115" s="337">
        <f t="shared" si="110"/>
        <v>100</v>
      </c>
      <c r="J1115" s="333"/>
    </row>
    <row r="1116" spans="1:10" ht="66" customHeight="1" x14ac:dyDescent="0.25">
      <c r="A1116" s="335" t="s">
        <v>84</v>
      </c>
      <c r="B1116" s="482">
        <v>908</v>
      </c>
      <c r="C1116" s="268" t="s">
        <v>81</v>
      </c>
      <c r="D1116" s="268" t="s">
        <v>96</v>
      </c>
      <c r="E1116" s="268" t="s">
        <v>1114</v>
      </c>
      <c r="F1116" s="268" t="s">
        <v>85</v>
      </c>
      <c r="G1116" s="337">
        <f>G1117</f>
        <v>29.698060000000002</v>
      </c>
      <c r="H1116" s="337">
        <f>H1117</f>
        <v>29.698060000000002</v>
      </c>
      <c r="I1116" s="337">
        <f t="shared" si="110"/>
        <v>100</v>
      </c>
      <c r="J1116" s="333"/>
    </row>
    <row r="1117" spans="1:10" ht="15.75" x14ac:dyDescent="0.25">
      <c r="A1117" s="335" t="s">
        <v>168</v>
      </c>
      <c r="B1117" s="482">
        <v>908</v>
      </c>
      <c r="C1117" s="268" t="s">
        <v>81</v>
      </c>
      <c r="D1117" s="268" t="s">
        <v>96</v>
      </c>
      <c r="E1117" s="268" t="s">
        <v>1114</v>
      </c>
      <c r="F1117" s="268" t="s">
        <v>117</v>
      </c>
      <c r="G1117" s="337">
        <f>23.02175+6.67631</f>
        <v>29.698060000000002</v>
      </c>
      <c r="H1117" s="337">
        <v>29.698060000000002</v>
      </c>
      <c r="I1117" s="337">
        <f t="shared" si="110"/>
        <v>100</v>
      </c>
    </row>
    <row r="1118" spans="1:10" ht="31.5" hidden="1" x14ac:dyDescent="0.25">
      <c r="A1118" s="116" t="s">
        <v>124</v>
      </c>
      <c r="B1118" s="432">
        <v>908</v>
      </c>
      <c r="C1118" s="481" t="s">
        <v>120</v>
      </c>
      <c r="D1118" s="481"/>
      <c r="E1118" s="481"/>
      <c r="F1118" s="481"/>
      <c r="G1118" s="338">
        <f t="shared" ref="G1118:H1123" si="112">G1119</f>
        <v>0</v>
      </c>
      <c r="H1118" s="338">
        <f t="shared" si="112"/>
        <v>0</v>
      </c>
      <c r="I1118" s="337" t="e">
        <f t="shared" si="110"/>
        <v>#DIV/0!</v>
      </c>
    </row>
    <row r="1119" spans="1:10" ht="47.85" hidden="1" customHeight="1" x14ac:dyDescent="0.25">
      <c r="A1119" s="116" t="s">
        <v>640</v>
      </c>
      <c r="B1119" s="432">
        <v>908</v>
      </c>
      <c r="C1119" s="481" t="s">
        <v>120</v>
      </c>
      <c r="D1119" s="481" t="s">
        <v>134</v>
      </c>
      <c r="E1119" s="481"/>
      <c r="F1119" s="481"/>
      <c r="G1119" s="338">
        <f>G1120</f>
        <v>0</v>
      </c>
      <c r="H1119" s="338">
        <f>H1120</f>
        <v>0</v>
      </c>
      <c r="I1119" s="337" t="e">
        <f t="shared" si="110"/>
        <v>#DIV/0!</v>
      </c>
    </row>
    <row r="1120" spans="1:10" ht="21.75" hidden="1" customHeight="1" x14ac:dyDescent="0.25">
      <c r="A1120" s="116" t="s">
        <v>97</v>
      </c>
      <c r="B1120" s="432">
        <v>908</v>
      </c>
      <c r="C1120" s="481" t="s">
        <v>120</v>
      </c>
      <c r="D1120" s="481" t="s">
        <v>134</v>
      </c>
      <c r="E1120" s="481" t="s">
        <v>329</v>
      </c>
      <c r="F1120" s="481"/>
      <c r="G1120" s="338">
        <f t="shared" si="112"/>
        <v>0</v>
      </c>
      <c r="H1120" s="338">
        <f t="shared" si="112"/>
        <v>0</v>
      </c>
      <c r="I1120" s="337" t="e">
        <f t="shared" si="110"/>
        <v>#DIV/0!</v>
      </c>
    </row>
    <row r="1121" spans="1:10" ht="31.5" hidden="1" x14ac:dyDescent="0.25">
      <c r="A1121" s="116" t="s">
        <v>330</v>
      </c>
      <c r="B1121" s="432">
        <v>908</v>
      </c>
      <c r="C1121" s="481" t="s">
        <v>120</v>
      </c>
      <c r="D1121" s="481" t="s">
        <v>134</v>
      </c>
      <c r="E1121" s="481" t="s">
        <v>328</v>
      </c>
      <c r="F1121" s="481"/>
      <c r="G1121" s="338">
        <f t="shared" si="112"/>
        <v>0</v>
      </c>
      <c r="H1121" s="338">
        <f t="shared" si="112"/>
        <v>0</v>
      </c>
      <c r="I1121" s="337" t="e">
        <f t="shared" si="110"/>
        <v>#DIV/0!</v>
      </c>
    </row>
    <row r="1122" spans="1:10" ht="15.75" hidden="1" x14ac:dyDescent="0.25">
      <c r="A1122" s="335" t="s">
        <v>126</v>
      </c>
      <c r="B1122" s="482">
        <v>908</v>
      </c>
      <c r="C1122" s="268" t="s">
        <v>120</v>
      </c>
      <c r="D1122" s="268" t="s">
        <v>134</v>
      </c>
      <c r="E1122" s="268" t="s">
        <v>333</v>
      </c>
      <c r="F1122" s="268"/>
      <c r="G1122" s="337">
        <f t="shared" si="112"/>
        <v>0</v>
      </c>
      <c r="H1122" s="337">
        <f t="shared" si="112"/>
        <v>0</v>
      </c>
      <c r="I1122" s="337" t="e">
        <f t="shared" si="110"/>
        <v>#DIV/0!</v>
      </c>
    </row>
    <row r="1123" spans="1:10" ht="31.5" hidden="1" x14ac:dyDescent="0.25">
      <c r="A1123" s="335" t="s">
        <v>88</v>
      </c>
      <c r="B1123" s="482">
        <v>908</v>
      </c>
      <c r="C1123" s="268" t="s">
        <v>120</v>
      </c>
      <c r="D1123" s="268" t="s">
        <v>134</v>
      </c>
      <c r="E1123" s="268" t="s">
        <v>333</v>
      </c>
      <c r="F1123" s="268" t="s">
        <v>89</v>
      </c>
      <c r="G1123" s="337">
        <f t="shared" si="112"/>
        <v>0</v>
      </c>
      <c r="H1123" s="337">
        <f t="shared" si="112"/>
        <v>0</v>
      </c>
      <c r="I1123" s="337" t="e">
        <f t="shared" si="110"/>
        <v>#DIV/0!</v>
      </c>
    </row>
    <row r="1124" spans="1:10" ht="31.5" hidden="1" x14ac:dyDescent="0.25">
      <c r="A1124" s="335" t="s">
        <v>90</v>
      </c>
      <c r="B1124" s="482">
        <v>908</v>
      </c>
      <c r="C1124" s="268" t="s">
        <v>120</v>
      </c>
      <c r="D1124" s="268" t="s">
        <v>134</v>
      </c>
      <c r="E1124" s="268" t="s">
        <v>333</v>
      </c>
      <c r="F1124" s="268" t="s">
        <v>91</v>
      </c>
      <c r="G1124" s="337">
        <f>120-120</f>
        <v>0</v>
      </c>
      <c r="H1124" s="337">
        <f>120-120</f>
        <v>0</v>
      </c>
      <c r="I1124" s="337" t="e">
        <f t="shared" si="110"/>
        <v>#DIV/0!</v>
      </c>
    </row>
    <row r="1125" spans="1:10" ht="15.75" x14ac:dyDescent="0.25">
      <c r="A1125" s="116" t="s">
        <v>127</v>
      </c>
      <c r="B1125" s="432">
        <v>908</v>
      </c>
      <c r="C1125" s="481" t="s">
        <v>103</v>
      </c>
      <c r="D1125" s="481"/>
      <c r="E1125" s="481"/>
      <c r="F1125" s="481"/>
      <c r="G1125" s="338">
        <f>G1126+G1132</f>
        <v>11296.657999999999</v>
      </c>
      <c r="H1125" s="338">
        <f>H1126+H1132</f>
        <v>11296.657999999999</v>
      </c>
      <c r="I1125" s="338">
        <f t="shared" si="110"/>
        <v>100</v>
      </c>
    </row>
    <row r="1126" spans="1:10" ht="15.75" x14ac:dyDescent="0.25">
      <c r="A1126" s="116" t="s">
        <v>201</v>
      </c>
      <c r="B1126" s="432">
        <v>908</v>
      </c>
      <c r="C1126" s="481" t="s">
        <v>103</v>
      </c>
      <c r="D1126" s="481" t="s">
        <v>159</v>
      </c>
      <c r="E1126" s="481"/>
      <c r="F1126" s="481"/>
      <c r="G1126" s="338">
        <f t="shared" ref="G1126:H1130" si="113">G1127</f>
        <v>3258</v>
      </c>
      <c r="H1126" s="338">
        <f t="shared" si="113"/>
        <v>3258</v>
      </c>
      <c r="I1126" s="338">
        <f t="shared" si="110"/>
        <v>100</v>
      </c>
    </row>
    <row r="1127" spans="1:10" ht="15.75" x14ac:dyDescent="0.25">
      <c r="A1127" s="116" t="s">
        <v>97</v>
      </c>
      <c r="B1127" s="432">
        <v>908</v>
      </c>
      <c r="C1127" s="481" t="s">
        <v>103</v>
      </c>
      <c r="D1127" s="481" t="s">
        <v>159</v>
      </c>
      <c r="E1127" s="481" t="s">
        <v>329</v>
      </c>
      <c r="F1127" s="481"/>
      <c r="G1127" s="338">
        <f t="shared" si="113"/>
        <v>3258</v>
      </c>
      <c r="H1127" s="338">
        <f t="shared" si="113"/>
        <v>3258</v>
      </c>
      <c r="I1127" s="338">
        <f t="shared" si="110"/>
        <v>100</v>
      </c>
    </row>
    <row r="1128" spans="1:10" ht="31.5" x14ac:dyDescent="0.25">
      <c r="A1128" s="116" t="s">
        <v>330</v>
      </c>
      <c r="B1128" s="432">
        <v>908</v>
      </c>
      <c r="C1128" s="481" t="s">
        <v>103</v>
      </c>
      <c r="D1128" s="481" t="s">
        <v>159</v>
      </c>
      <c r="E1128" s="481" t="s">
        <v>328</v>
      </c>
      <c r="F1128" s="481"/>
      <c r="G1128" s="338">
        <f t="shared" si="113"/>
        <v>3258</v>
      </c>
      <c r="H1128" s="338">
        <f t="shared" si="113"/>
        <v>3258</v>
      </c>
      <c r="I1128" s="338">
        <f t="shared" si="110"/>
        <v>100</v>
      </c>
    </row>
    <row r="1129" spans="1:10" ht="18" customHeight="1" x14ac:dyDescent="0.25">
      <c r="A1129" s="335" t="s">
        <v>202</v>
      </c>
      <c r="B1129" s="482">
        <v>908</v>
      </c>
      <c r="C1129" s="268" t="s">
        <v>103</v>
      </c>
      <c r="D1129" s="268" t="s">
        <v>159</v>
      </c>
      <c r="E1129" s="268" t="s">
        <v>388</v>
      </c>
      <c r="F1129" s="268"/>
      <c r="G1129" s="337">
        <f t="shared" si="113"/>
        <v>3258</v>
      </c>
      <c r="H1129" s="337">
        <f t="shared" si="113"/>
        <v>3258</v>
      </c>
      <c r="I1129" s="337">
        <f t="shared" si="110"/>
        <v>100</v>
      </c>
    </row>
    <row r="1130" spans="1:10" ht="31.5" x14ac:dyDescent="0.25">
      <c r="A1130" s="335" t="s">
        <v>88</v>
      </c>
      <c r="B1130" s="482">
        <v>908</v>
      </c>
      <c r="C1130" s="268" t="s">
        <v>103</v>
      </c>
      <c r="D1130" s="268" t="s">
        <v>159</v>
      </c>
      <c r="E1130" s="268" t="s">
        <v>388</v>
      </c>
      <c r="F1130" s="268" t="s">
        <v>89</v>
      </c>
      <c r="G1130" s="337">
        <f t="shared" si="113"/>
        <v>3258</v>
      </c>
      <c r="H1130" s="337">
        <f t="shared" si="113"/>
        <v>3258</v>
      </c>
      <c r="I1130" s="337">
        <f t="shared" si="110"/>
        <v>100</v>
      </c>
    </row>
    <row r="1131" spans="1:10" ht="31.5" x14ac:dyDescent="0.25">
      <c r="A1131" s="335" t="s">
        <v>90</v>
      </c>
      <c r="B1131" s="482">
        <v>908</v>
      </c>
      <c r="C1131" s="268" t="s">
        <v>103</v>
      </c>
      <c r="D1131" s="268" t="s">
        <v>159</v>
      </c>
      <c r="E1131" s="268" t="s">
        <v>388</v>
      </c>
      <c r="F1131" s="268" t="s">
        <v>91</v>
      </c>
      <c r="G1131" s="337">
        <f>3258+28.5-28.5</f>
        <v>3258</v>
      </c>
      <c r="H1131" s="337">
        <v>3258</v>
      </c>
      <c r="I1131" s="337">
        <f t="shared" si="110"/>
        <v>100</v>
      </c>
      <c r="J1131" s="341"/>
    </row>
    <row r="1132" spans="1:10" ht="15.75" x14ac:dyDescent="0.25">
      <c r="A1132" s="116" t="s">
        <v>203</v>
      </c>
      <c r="B1132" s="432">
        <v>908</v>
      </c>
      <c r="C1132" s="481" t="s">
        <v>103</v>
      </c>
      <c r="D1132" s="481" t="s">
        <v>122</v>
      </c>
      <c r="E1132" s="268"/>
      <c r="F1132" s="481"/>
      <c r="G1132" s="338">
        <f>G1133</f>
        <v>8038.6579999999985</v>
      </c>
      <c r="H1132" s="338">
        <f>H1133</f>
        <v>8038.6580000000004</v>
      </c>
      <c r="I1132" s="338">
        <f t="shared" si="110"/>
        <v>100.00000000000003</v>
      </c>
    </row>
    <row r="1133" spans="1:10" ht="49.9" customHeight="1" x14ac:dyDescent="0.25">
      <c r="A1133" s="22" t="s">
        <v>881</v>
      </c>
      <c r="B1133" s="432">
        <v>908</v>
      </c>
      <c r="C1133" s="481" t="s">
        <v>103</v>
      </c>
      <c r="D1133" s="481" t="s">
        <v>122</v>
      </c>
      <c r="E1133" s="481" t="s">
        <v>204</v>
      </c>
      <c r="F1133" s="481"/>
      <c r="G1133" s="338">
        <f>G1134+G1138</f>
        <v>8038.6579999999985</v>
      </c>
      <c r="H1133" s="338">
        <f>H1134+H1138</f>
        <v>8038.6580000000004</v>
      </c>
      <c r="I1133" s="338">
        <f t="shared" si="110"/>
        <v>100.00000000000003</v>
      </c>
    </row>
    <row r="1134" spans="1:10" ht="31.5" hidden="1" x14ac:dyDescent="0.25">
      <c r="A1134" s="22" t="s">
        <v>428</v>
      </c>
      <c r="B1134" s="432">
        <v>908</v>
      </c>
      <c r="C1134" s="481" t="s">
        <v>103</v>
      </c>
      <c r="D1134" s="481" t="s">
        <v>122</v>
      </c>
      <c r="E1134" s="484" t="s">
        <v>389</v>
      </c>
      <c r="F1134" s="481"/>
      <c r="G1134" s="338">
        <f t="shared" ref="G1134:H1136" si="114">G1135</f>
        <v>0</v>
      </c>
      <c r="H1134" s="338">
        <f t="shared" si="114"/>
        <v>0</v>
      </c>
      <c r="I1134" s="338" t="e">
        <f t="shared" si="110"/>
        <v>#DIV/0!</v>
      </c>
    </row>
    <row r="1135" spans="1:10" ht="15.75" hidden="1" x14ac:dyDescent="0.25">
      <c r="A1135" s="19" t="s">
        <v>430</v>
      </c>
      <c r="B1135" s="482">
        <v>908</v>
      </c>
      <c r="C1135" s="268" t="s">
        <v>103</v>
      </c>
      <c r="D1135" s="268" t="s">
        <v>122</v>
      </c>
      <c r="E1135" s="485" t="s">
        <v>429</v>
      </c>
      <c r="F1135" s="268"/>
      <c r="G1135" s="337">
        <f t="shared" si="114"/>
        <v>0</v>
      </c>
      <c r="H1135" s="337">
        <f t="shared" si="114"/>
        <v>0</v>
      </c>
      <c r="I1135" s="338" t="e">
        <f t="shared" si="110"/>
        <v>#DIV/0!</v>
      </c>
    </row>
    <row r="1136" spans="1:10" ht="31.5" hidden="1" x14ac:dyDescent="0.25">
      <c r="A1136" s="335" t="s">
        <v>88</v>
      </c>
      <c r="B1136" s="482">
        <v>908</v>
      </c>
      <c r="C1136" s="268" t="s">
        <v>103</v>
      </c>
      <c r="D1136" s="268" t="s">
        <v>122</v>
      </c>
      <c r="E1136" s="485" t="s">
        <v>429</v>
      </c>
      <c r="F1136" s="268" t="s">
        <v>89</v>
      </c>
      <c r="G1136" s="337">
        <f t="shared" si="114"/>
        <v>0</v>
      </c>
      <c r="H1136" s="337">
        <f t="shared" si="114"/>
        <v>0</v>
      </c>
      <c r="I1136" s="338" t="e">
        <f t="shared" si="110"/>
        <v>#DIV/0!</v>
      </c>
    </row>
    <row r="1137" spans="1:10" ht="31.5" hidden="1" x14ac:dyDescent="0.25">
      <c r="A1137" s="335" t="s">
        <v>90</v>
      </c>
      <c r="B1137" s="482">
        <v>908</v>
      </c>
      <c r="C1137" s="268" t="s">
        <v>103</v>
      </c>
      <c r="D1137" s="268" t="s">
        <v>122</v>
      </c>
      <c r="E1137" s="485" t="s">
        <v>429</v>
      </c>
      <c r="F1137" s="268" t="s">
        <v>91</v>
      </c>
      <c r="G1137" s="337"/>
      <c r="H1137" s="337"/>
      <c r="I1137" s="338" t="e">
        <f t="shared" si="110"/>
        <v>#DIV/0!</v>
      </c>
    </row>
    <row r="1138" spans="1:10" ht="31.5" x14ac:dyDescent="0.25">
      <c r="A1138" s="22" t="s">
        <v>480</v>
      </c>
      <c r="B1138" s="432">
        <v>908</v>
      </c>
      <c r="C1138" s="481" t="s">
        <v>103</v>
      </c>
      <c r="D1138" s="481" t="s">
        <v>122</v>
      </c>
      <c r="E1138" s="481" t="s">
        <v>390</v>
      </c>
      <c r="F1138" s="481"/>
      <c r="G1138" s="338">
        <f>G1139+G1146</f>
        <v>8038.6579999999985</v>
      </c>
      <c r="H1138" s="338">
        <f>H1139+H1146</f>
        <v>8038.6580000000004</v>
      </c>
      <c r="I1138" s="338">
        <f t="shared" si="110"/>
        <v>100.00000000000003</v>
      </c>
    </row>
    <row r="1139" spans="1:10" ht="15.75" x14ac:dyDescent="0.25">
      <c r="A1139" s="19" t="s">
        <v>205</v>
      </c>
      <c r="B1139" s="482">
        <v>908</v>
      </c>
      <c r="C1139" s="268" t="s">
        <v>103</v>
      </c>
      <c r="D1139" s="268" t="s">
        <v>122</v>
      </c>
      <c r="E1139" s="485" t="s">
        <v>431</v>
      </c>
      <c r="F1139" s="268"/>
      <c r="G1139" s="337">
        <f>G1142+G1144+G1140</f>
        <v>8038.6579999999985</v>
      </c>
      <c r="H1139" s="337">
        <f>H1142+H1144+H1140</f>
        <v>8038.6580000000004</v>
      </c>
      <c r="I1139" s="337">
        <f t="shared" si="110"/>
        <v>100.00000000000003</v>
      </c>
    </row>
    <row r="1140" spans="1:10" ht="78.75" hidden="1" x14ac:dyDescent="0.25">
      <c r="A1140" s="335" t="s">
        <v>84</v>
      </c>
      <c r="B1140" s="482">
        <v>908</v>
      </c>
      <c r="C1140" s="268" t="s">
        <v>103</v>
      </c>
      <c r="D1140" s="268" t="s">
        <v>122</v>
      </c>
      <c r="E1140" s="485" t="s">
        <v>431</v>
      </c>
      <c r="F1140" s="268" t="s">
        <v>85</v>
      </c>
      <c r="G1140" s="337">
        <f>G1141</f>
        <v>0</v>
      </c>
      <c r="H1140" s="337">
        <f>H1141</f>
        <v>0</v>
      </c>
      <c r="I1140" s="337" t="e">
        <f t="shared" si="110"/>
        <v>#DIV/0!</v>
      </c>
    </row>
    <row r="1141" spans="1:10" ht="15.75" hidden="1" x14ac:dyDescent="0.25">
      <c r="A1141" s="335" t="s">
        <v>168</v>
      </c>
      <c r="B1141" s="482">
        <v>908</v>
      </c>
      <c r="C1141" s="268" t="s">
        <v>103</v>
      </c>
      <c r="D1141" s="268" t="s">
        <v>122</v>
      </c>
      <c r="E1141" s="485" t="s">
        <v>431</v>
      </c>
      <c r="F1141" s="268" t="s">
        <v>117</v>
      </c>
      <c r="G1141" s="337"/>
      <c r="H1141" s="337"/>
      <c r="I1141" s="337" t="e">
        <f t="shared" si="110"/>
        <v>#DIV/0!</v>
      </c>
    </row>
    <row r="1142" spans="1:10" ht="31.5" x14ac:dyDescent="0.25">
      <c r="A1142" s="335" t="s">
        <v>88</v>
      </c>
      <c r="B1142" s="482">
        <v>908</v>
      </c>
      <c r="C1142" s="268" t="s">
        <v>103</v>
      </c>
      <c r="D1142" s="268" t="s">
        <v>122</v>
      </c>
      <c r="E1142" s="485" t="s">
        <v>431</v>
      </c>
      <c r="F1142" s="268" t="s">
        <v>89</v>
      </c>
      <c r="G1142" s="337">
        <f>G1143</f>
        <v>8038.6579999999985</v>
      </c>
      <c r="H1142" s="337">
        <f>H1143</f>
        <v>8038.6580000000004</v>
      </c>
      <c r="I1142" s="337">
        <f t="shared" si="110"/>
        <v>100.00000000000003</v>
      </c>
    </row>
    <row r="1143" spans="1:10" ht="31.5" x14ac:dyDescent="0.25">
      <c r="A1143" s="335" t="s">
        <v>90</v>
      </c>
      <c r="B1143" s="482">
        <v>908</v>
      </c>
      <c r="C1143" s="268" t="s">
        <v>103</v>
      </c>
      <c r="D1143" s="268" t="s">
        <v>122</v>
      </c>
      <c r="E1143" s="485" t="s">
        <v>431</v>
      </c>
      <c r="F1143" s="268" t="s">
        <v>91</v>
      </c>
      <c r="G1143" s="337">
        <f>2533+41.5+812+4678.2+5675.9+1222.5+120-5675.9-500-290.099-578.35-0.008-0.085</f>
        <v>8038.6579999999985</v>
      </c>
      <c r="H1143" s="337">
        <v>8038.6580000000004</v>
      </c>
      <c r="I1143" s="337">
        <f t="shared" si="110"/>
        <v>100.00000000000003</v>
      </c>
      <c r="J1143" s="341"/>
    </row>
    <row r="1144" spans="1:10" ht="15.75" hidden="1" x14ac:dyDescent="0.25">
      <c r="A1144" s="335" t="s">
        <v>92</v>
      </c>
      <c r="B1144" s="482">
        <v>908</v>
      </c>
      <c r="C1144" s="268" t="s">
        <v>103</v>
      </c>
      <c r="D1144" s="268" t="s">
        <v>122</v>
      </c>
      <c r="E1144" s="485" t="s">
        <v>431</v>
      </c>
      <c r="F1144" s="268" t="s">
        <v>98</v>
      </c>
      <c r="G1144" s="337">
        <f>G1145</f>
        <v>0</v>
      </c>
      <c r="H1144" s="337">
        <f>H1145</f>
        <v>0</v>
      </c>
      <c r="I1144" s="337" t="e">
        <f t="shared" si="110"/>
        <v>#DIV/0!</v>
      </c>
    </row>
    <row r="1145" spans="1:10" ht="15.75" hidden="1" x14ac:dyDescent="0.25">
      <c r="A1145" s="335" t="s">
        <v>223</v>
      </c>
      <c r="B1145" s="482">
        <v>908</v>
      </c>
      <c r="C1145" s="268" t="s">
        <v>103</v>
      </c>
      <c r="D1145" s="268" t="s">
        <v>122</v>
      </c>
      <c r="E1145" s="485" t="s">
        <v>431</v>
      </c>
      <c r="F1145" s="268" t="s">
        <v>94</v>
      </c>
      <c r="G1145" s="337">
        <v>0</v>
      </c>
      <c r="H1145" s="337">
        <v>0</v>
      </c>
      <c r="I1145" s="337" t="e">
        <f t="shared" si="110"/>
        <v>#DIV/0!</v>
      </c>
    </row>
    <row r="1146" spans="1:10" ht="15.75" hidden="1" x14ac:dyDescent="0.25">
      <c r="A1146" s="66" t="s">
        <v>868</v>
      </c>
      <c r="B1146" s="482">
        <v>908</v>
      </c>
      <c r="C1146" s="268" t="s">
        <v>103</v>
      </c>
      <c r="D1146" s="268" t="s">
        <v>122</v>
      </c>
      <c r="E1146" s="485" t="s">
        <v>869</v>
      </c>
      <c r="F1146" s="268"/>
      <c r="G1146" s="337">
        <f>G1147</f>
        <v>0</v>
      </c>
      <c r="H1146" s="337">
        <f>H1147</f>
        <v>0</v>
      </c>
      <c r="I1146" s="337" t="e">
        <f t="shared" si="110"/>
        <v>#DIV/0!</v>
      </c>
    </row>
    <row r="1147" spans="1:10" ht="31.5" hidden="1" x14ac:dyDescent="0.25">
      <c r="A1147" s="335" t="s">
        <v>88</v>
      </c>
      <c r="B1147" s="482">
        <v>908</v>
      </c>
      <c r="C1147" s="268" t="s">
        <v>103</v>
      </c>
      <c r="D1147" s="268" t="s">
        <v>122</v>
      </c>
      <c r="E1147" s="485" t="s">
        <v>869</v>
      </c>
      <c r="F1147" s="268" t="s">
        <v>89</v>
      </c>
      <c r="G1147" s="337">
        <f>G1148</f>
        <v>0</v>
      </c>
      <c r="H1147" s="337">
        <f>H1148</f>
        <v>0</v>
      </c>
      <c r="I1147" s="337" t="e">
        <f t="shared" si="110"/>
        <v>#DIV/0!</v>
      </c>
    </row>
    <row r="1148" spans="1:10" ht="31.5" hidden="1" x14ac:dyDescent="0.25">
      <c r="A1148" s="335" t="s">
        <v>90</v>
      </c>
      <c r="B1148" s="482">
        <v>908</v>
      </c>
      <c r="C1148" s="268" t="s">
        <v>103</v>
      </c>
      <c r="D1148" s="268" t="s">
        <v>122</v>
      </c>
      <c r="E1148" s="485" t="s">
        <v>869</v>
      </c>
      <c r="F1148" s="268" t="s">
        <v>91</v>
      </c>
      <c r="G1148" s="337"/>
      <c r="H1148" s="337"/>
      <c r="I1148" s="337" t="e">
        <f t="shared" si="110"/>
        <v>#DIV/0!</v>
      </c>
    </row>
    <row r="1149" spans="1:10" ht="15.75" x14ac:dyDescent="0.25">
      <c r="A1149" s="116" t="s">
        <v>184</v>
      </c>
      <c r="B1149" s="432">
        <v>908</v>
      </c>
      <c r="C1149" s="481" t="s">
        <v>129</v>
      </c>
      <c r="D1149" s="481"/>
      <c r="E1149" s="481"/>
      <c r="F1149" s="481"/>
      <c r="G1149" s="338">
        <f>G1150+G1169+G1241+G1306</f>
        <v>144833.36152999999</v>
      </c>
      <c r="H1149" s="338">
        <f>H1150+H1169+H1241+H1306</f>
        <v>144452.36878000002</v>
      </c>
      <c r="I1149" s="338">
        <f t="shared" si="110"/>
        <v>99.736944067323151</v>
      </c>
    </row>
    <row r="1150" spans="1:10" ht="15.75" x14ac:dyDescent="0.25">
      <c r="A1150" s="116" t="s">
        <v>185</v>
      </c>
      <c r="B1150" s="432">
        <v>908</v>
      </c>
      <c r="C1150" s="481" t="s">
        <v>129</v>
      </c>
      <c r="D1150" s="481" t="s">
        <v>81</v>
      </c>
      <c r="E1150" s="481"/>
      <c r="F1150" s="481"/>
      <c r="G1150" s="338">
        <f>G1151+G1164</f>
        <v>17600.17872</v>
      </c>
      <c r="H1150" s="338">
        <f>H1151+H1164</f>
        <v>17300.62804</v>
      </c>
      <c r="I1150" s="338">
        <f t="shared" si="110"/>
        <v>98.298024782784694</v>
      </c>
    </row>
    <row r="1151" spans="1:10" ht="15.75" x14ac:dyDescent="0.25">
      <c r="A1151" s="116" t="s">
        <v>97</v>
      </c>
      <c r="B1151" s="432">
        <v>908</v>
      </c>
      <c r="C1151" s="481" t="s">
        <v>129</v>
      </c>
      <c r="D1151" s="481" t="s">
        <v>81</v>
      </c>
      <c r="E1151" s="481" t="s">
        <v>329</v>
      </c>
      <c r="F1151" s="481"/>
      <c r="G1151" s="338">
        <f>G1152</f>
        <v>10322.94571</v>
      </c>
      <c r="H1151" s="338">
        <f>H1152</f>
        <v>10322.923720000001</v>
      </c>
      <c r="I1151" s="338">
        <f t="shared" si="110"/>
        <v>99.999786979408626</v>
      </c>
    </row>
    <row r="1152" spans="1:10" ht="31.5" x14ac:dyDescent="0.25">
      <c r="A1152" s="116" t="s">
        <v>330</v>
      </c>
      <c r="B1152" s="432">
        <v>908</v>
      </c>
      <c r="C1152" s="481" t="s">
        <v>129</v>
      </c>
      <c r="D1152" s="481" t="s">
        <v>81</v>
      </c>
      <c r="E1152" s="481" t="s">
        <v>328</v>
      </c>
      <c r="F1152" s="481"/>
      <c r="G1152" s="338">
        <f>G1153+G1158+G1161</f>
        <v>10322.94571</v>
      </c>
      <c r="H1152" s="338">
        <f>H1153+H1158+H1161</f>
        <v>10322.923720000001</v>
      </c>
      <c r="I1152" s="338">
        <f t="shared" si="110"/>
        <v>99.999786979408626</v>
      </c>
    </row>
    <row r="1153" spans="1:10" ht="15.75" x14ac:dyDescent="0.25">
      <c r="A1153" s="335" t="s">
        <v>206</v>
      </c>
      <c r="B1153" s="482">
        <v>908</v>
      </c>
      <c r="C1153" s="268" t="s">
        <v>270</v>
      </c>
      <c r="D1153" s="268" t="s">
        <v>81</v>
      </c>
      <c r="E1153" s="268" t="s">
        <v>391</v>
      </c>
      <c r="F1153" s="481"/>
      <c r="G1153" s="337">
        <f>G1156+G1154</f>
        <v>30</v>
      </c>
      <c r="H1153" s="337">
        <f>H1156+H1154</f>
        <v>30</v>
      </c>
      <c r="I1153" s="337">
        <f t="shared" si="110"/>
        <v>100</v>
      </c>
    </row>
    <row r="1154" spans="1:10" ht="31.5" x14ac:dyDescent="0.25">
      <c r="A1154" s="335" t="s">
        <v>88</v>
      </c>
      <c r="B1154" s="482">
        <v>908</v>
      </c>
      <c r="C1154" s="268" t="s">
        <v>129</v>
      </c>
      <c r="D1154" s="268" t="s">
        <v>81</v>
      </c>
      <c r="E1154" s="268" t="s">
        <v>391</v>
      </c>
      <c r="F1154" s="268" t="s">
        <v>89</v>
      </c>
      <c r="G1154" s="337">
        <f>G1155</f>
        <v>30</v>
      </c>
      <c r="H1154" s="337">
        <f>H1155</f>
        <v>30</v>
      </c>
      <c r="I1154" s="337">
        <f t="shared" si="110"/>
        <v>100</v>
      </c>
    </row>
    <row r="1155" spans="1:10" ht="31.5" x14ac:dyDescent="0.25">
      <c r="A1155" s="335" t="s">
        <v>90</v>
      </c>
      <c r="B1155" s="482">
        <v>908</v>
      </c>
      <c r="C1155" s="268" t="s">
        <v>129</v>
      </c>
      <c r="D1155" s="268" t="s">
        <v>81</v>
      </c>
      <c r="E1155" s="268" t="s">
        <v>391</v>
      </c>
      <c r="F1155" s="268" t="s">
        <v>91</v>
      </c>
      <c r="G1155" s="337">
        <v>30</v>
      </c>
      <c r="H1155" s="337">
        <v>30</v>
      </c>
      <c r="I1155" s="337">
        <f t="shared" si="110"/>
        <v>100</v>
      </c>
      <c r="J1155" s="341"/>
    </row>
    <row r="1156" spans="1:10" ht="15.75" hidden="1" x14ac:dyDescent="0.25">
      <c r="A1156" s="335" t="s">
        <v>92</v>
      </c>
      <c r="B1156" s="482">
        <v>908</v>
      </c>
      <c r="C1156" s="268" t="s">
        <v>129</v>
      </c>
      <c r="D1156" s="268" t="s">
        <v>81</v>
      </c>
      <c r="E1156" s="268" t="s">
        <v>391</v>
      </c>
      <c r="F1156" s="268" t="s">
        <v>98</v>
      </c>
      <c r="G1156" s="337">
        <f>G1157</f>
        <v>0</v>
      </c>
      <c r="H1156" s="337">
        <f>H1157</f>
        <v>0</v>
      </c>
      <c r="I1156" s="337" t="e">
        <f t="shared" si="110"/>
        <v>#DIV/0!</v>
      </c>
    </row>
    <row r="1157" spans="1:10" ht="48.75" hidden="1" customHeight="1" x14ac:dyDescent="0.25">
      <c r="A1157" s="335" t="s">
        <v>110</v>
      </c>
      <c r="B1157" s="482">
        <v>908</v>
      </c>
      <c r="C1157" s="268" t="s">
        <v>129</v>
      </c>
      <c r="D1157" s="268" t="s">
        <v>81</v>
      </c>
      <c r="E1157" s="268" t="s">
        <v>391</v>
      </c>
      <c r="F1157" s="268" t="s">
        <v>105</v>
      </c>
      <c r="G1157" s="337"/>
      <c r="H1157" s="337"/>
      <c r="I1157" s="337" t="e">
        <f t="shared" si="110"/>
        <v>#DIV/0!</v>
      </c>
    </row>
    <row r="1158" spans="1:10" ht="31.5" x14ac:dyDescent="0.25">
      <c r="A1158" s="19" t="s">
        <v>186</v>
      </c>
      <c r="B1158" s="482">
        <v>908</v>
      </c>
      <c r="C1158" s="268" t="s">
        <v>129</v>
      </c>
      <c r="D1158" s="268" t="s">
        <v>81</v>
      </c>
      <c r="E1158" s="268" t="s">
        <v>392</v>
      </c>
      <c r="F1158" s="481"/>
      <c r="G1158" s="337">
        <f>G1159</f>
        <v>5541.1917599999997</v>
      </c>
      <c r="H1158" s="337">
        <f>H1159</f>
        <v>5541.1697700000004</v>
      </c>
      <c r="I1158" s="337">
        <f t="shared" si="110"/>
        <v>99.999603153961246</v>
      </c>
    </row>
    <row r="1159" spans="1:10" ht="31.5" x14ac:dyDescent="0.25">
      <c r="A1159" s="335" t="s">
        <v>88</v>
      </c>
      <c r="B1159" s="482">
        <v>908</v>
      </c>
      <c r="C1159" s="268" t="s">
        <v>129</v>
      </c>
      <c r="D1159" s="268" t="s">
        <v>81</v>
      </c>
      <c r="E1159" s="268" t="s">
        <v>392</v>
      </c>
      <c r="F1159" s="268" t="s">
        <v>89</v>
      </c>
      <c r="G1159" s="337">
        <f>G1160</f>
        <v>5541.1917599999997</v>
      </c>
      <c r="H1159" s="337">
        <f>H1160</f>
        <v>5541.1697700000004</v>
      </c>
      <c r="I1159" s="337">
        <f t="shared" si="110"/>
        <v>99.999603153961246</v>
      </c>
    </row>
    <row r="1160" spans="1:10" ht="33" customHeight="1" x14ac:dyDescent="0.25">
      <c r="A1160" s="335" t="s">
        <v>90</v>
      </c>
      <c r="B1160" s="482">
        <v>908</v>
      </c>
      <c r="C1160" s="268" t="s">
        <v>129</v>
      </c>
      <c r="D1160" s="268" t="s">
        <v>81</v>
      </c>
      <c r="E1160" s="268" t="s">
        <v>392</v>
      </c>
      <c r="F1160" s="268" t="s">
        <v>91</v>
      </c>
      <c r="G1160" s="271">
        <f>4920.4+143.9+476.89176</f>
        <v>5541.1917599999997</v>
      </c>
      <c r="H1160" s="271">
        <v>5541.1697700000004</v>
      </c>
      <c r="I1160" s="337">
        <f t="shared" si="110"/>
        <v>99.999603153961246</v>
      </c>
      <c r="J1160" s="341"/>
    </row>
    <row r="1161" spans="1:10" ht="31.5" x14ac:dyDescent="0.25">
      <c r="A1161" s="19" t="s">
        <v>371</v>
      </c>
      <c r="B1161" s="482">
        <v>908</v>
      </c>
      <c r="C1161" s="268" t="s">
        <v>129</v>
      </c>
      <c r="D1161" s="268" t="s">
        <v>81</v>
      </c>
      <c r="E1161" s="268" t="s">
        <v>393</v>
      </c>
      <c r="F1161" s="481"/>
      <c r="G1161" s="337">
        <f>G1162</f>
        <v>4751.7539500000003</v>
      </c>
      <c r="H1161" s="337">
        <f>H1162</f>
        <v>4751.7539500000003</v>
      </c>
      <c r="I1161" s="337">
        <f t="shared" si="110"/>
        <v>100</v>
      </c>
    </row>
    <row r="1162" spans="1:10" ht="31.5" x14ac:dyDescent="0.25">
      <c r="A1162" s="335" t="s">
        <v>88</v>
      </c>
      <c r="B1162" s="482">
        <v>908</v>
      </c>
      <c r="C1162" s="268" t="s">
        <v>129</v>
      </c>
      <c r="D1162" s="268" t="s">
        <v>81</v>
      </c>
      <c r="E1162" s="268" t="s">
        <v>393</v>
      </c>
      <c r="F1162" s="268" t="s">
        <v>89</v>
      </c>
      <c r="G1162" s="337">
        <f>G1163</f>
        <v>4751.7539500000003</v>
      </c>
      <c r="H1162" s="337">
        <f>H1163</f>
        <v>4751.7539500000003</v>
      </c>
      <c r="I1162" s="337">
        <f t="shared" si="110"/>
        <v>100</v>
      </c>
    </row>
    <row r="1163" spans="1:10" ht="33" customHeight="1" x14ac:dyDescent="0.25">
      <c r="A1163" s="335" t="s">
        <v>90</v>
      </c>
      <c r="B1163" s="482">
        <v>908</v>
      </c>
      <c r="C1163" s="268" t="s">
        <v>129</v>
      </c>
      <c r="D1163" s="268" t="s">
        <v>81</v>
      </c>
      <c r="E1163" s="268" t="s">
        <v>393</v>
      </c>
      <c r="F1163" s="268" t="s">
        <v>91</v>
      </c>
      <c r="G1163" s="337">
        <f>1140-909.92807+909.92807+770-30+2871.75395</f>
        <v>4751.7539500000003</v>
      </c>
      <c r="H1163" s="337">
        <v>4751.7539500000003</v>
      </c>
      <c r="I1163" s="337">
        <f t="shared" si="110"/>
        <v>100</v>
      </c>
      <c r="J1163" s="341"/>
    </row>
    <row r="1164" spans="1:10" ht="63" x14ac:dyDescent="0.25">
      <c r="A1164" s="116" t="s">
        <v>862</v>
      </c>
      <c r="B1164" s="432">
        <v>908</v>
      </c>
      <c r="C1164" s="481" t="s">
        <v>129</v>
      </c>
      <c r="D1164" s="481" t="s">
        <v>81</v>
      </c>
      <c r="E1164" s="481" t="s">
        <v>863</v>
      </c>
      <c r="F1164" s="481"/>
      <c r="G1164" s="338">
        <f t="shared" ref="G1164:H1167" si="115">G1165</f>
        <v>7277.233009999999</v>
      </c>
      <c r="H1164" s="338">
        <f t="shared" si="115"/>
        <v>6977.7043199999998</v>
      </c>
      <c r="I1164" s="338">
        <f t="shared" ref="I1164:I1227" si="116">H1164/G1164*100</f>
        <v>95.884030515603911</v>
      </c>
      <c r="J1164" s="330"/>
    </row>
    <row r="1165" spans="1:10" ht="31.5" x14ac:dyDescent="0.25">
      <c r="A1165" s="130" t="s">
        <v>864</v>
      </c>
      <c r="B1165" s="432">
        <v>908</v>
      </c>
      <c r="C1165" s="481" t="s">
        <v>129</v>
      </c>
      <c r="D1165" s="481" t="s">
        <v>81</v>
      </c>
      <c r="E1165" s="481" t="s">
        <v>867</v>
      </c>
      <c r="F1165" s="481"/>
      <c r="G1165" s="338">
        <f t="shared" si="115"/>
        <v>7277.233009999999</v>
      </c>
      <c r="H1165" s="338">
        <f t="shared" si="115"/>
        <v>6977.7043199999998</v>
      </c>
      <c r="I1165" s="338">
        <f t="shared" si="116"/>
        <v>95.884030515603911</v>
      </c>
      <c r="J1165" s="330"/>
    </row>
    <row r="1166" spans="1:10" ht="47.25" x14ac:dyDescent="0.25">
      <c r="A1166" s="19" t="s">
        <v>865</v>
      </c>
      <c r="B1166" s="482">
        <v>908</v>
      </c>
      <c r="C1166" s="268" t="s">
        <v>129</v>
      </c>
      <c r="D1166" s="268" t="s">
        <v>81</v>
      </c>
      <c r="E1166" s="268" t="s">
        <v>866</v>
      </c>
      <c r="F1166" s="268"/>
      <c r="G1166" s="337">
        <f t="shared" si="115"/>
        <v>7277.233009999999</v>
      </c>
      <c r="H1166" s="337">
        <f t="shared" si="115"/>
        <v>6977.7043199999998</v>
      </c>
      <c r="I1166" s="337">
        <f t="shared" si="116"/>
        <v>95.884030515603911</v>
      </c>
      <c r="J1166" s="330"/>
    </row>
    <row r="1167" spans="1:10" ht="31.5" x14ac:dyDescent="0.25">
      <c r="A1167" s="335" t="s">
        <v>88</v>
      </c>
      <c r="B1167" s="482">
        <v>908</v>
      </c>
      <c r="C1167" s="268" t="s">
        <v>129</v>
      </c>
      <c r="D1167" s="268" t="s">
        <v>81</v>
      </c>
      <c r="E1167" s="268" t="s">
        <v>866</v>
      </c>
      <c r="F1167" s="268" t="s">
        <v>89</v>
      </c>
      <c r="G1167" s="337">
        <f t="shared" si="115"/>
        <v>7277.233009999999</v>
      </c>
      <c r="H1167" s="337">
        <f t="shared" si="115"/>
        <v>6977.7043199999998</v>
      </c>
      <c r="I1167" s="337">
        <f t="shared" si="116"/>
        <v>95.884030515603911</v>
      </c>
      <c r="J1167" s="330"/>
    </row>
    <row r="1168" spans="1:10" ht="31.5" x14ac:dyDescent="0.25">
      <c r="A1168" s="335" t="s">
        <v>90</v>
      </c>
      <c r="B1168" s="482">
        <v>908</v>
      </c>
      <c r="C1168" s="268" t="s">
        <v>129</v>
      </c>
      <c r="D1168" s="268" t="s">
        <v>81</v>
      </c>
      <c r="E1168" s="268" t="s">
        <v>866</v>
      </c>
      <c r="F1168" s="268" t="s">
        <v>91</v>
      </c>
      <c r="G1168" s="337">
        <f>7419.83-83.6-30-12.40376-13.55-3.04323</f>
        <v>7277.233009999999</v>
      </c>
      <c r="H1168" s="337">
        <v>6977.7043199999998</v>
      </c>
      <c r="I1168" s="337">
        <f t="shared" si="116"/>
        <v>95.884030515603911</v>
      </c>
      <c r="J1168" s="330"/>
    </row>
    <row r="1169" spans="1:10" ht="15.75" x14ac:dyDescent="0.25">
      <c r="A1169" s="116" t="s">
        <v>207</v>
      </c>
      <c r="B1169" s="432">
        <v>908</v>
      </c>
      <c r="C1169" s="481" t="s">
        <v>129</v>
      </c>
      <c r="D1169" s="481" t="s">
        <v>119</v>
      </c>
      <c r="E1169" s="481"/>
      <c r="F1169" s="481"/>
      <c r="G1169" s="338">
        <f>G1170+G1201+G1236</f>
        <v>51312.45162</v>
      </c>
      <c r="H1169" s="338">
        <f>H1170+H1201+H1236</f>
        <v>51312.45162</v>
      </c>
      <c r="I1169" s="338">
        <f t="shared" si="116"/>
        <v>100</v>
      </c>
    </row>
    <row r="1170" spans="1:10" ht="15.75" x14ac:dyDescent="0.25">
      <c r="A1170" s="116" t="s">
        <v>97</v>
      </c>
      <c r="B1170" s="432">
        <v>908</v>
      </c>
      <c r="C1170" s="481" t="s">
        <v>129</v>
      </c>
      <c r="D1170" s="481" t="s">
        <v>119</v>
      </c>
      <c r="E1170" s="481" t="s">
        <v>329</v>
      </c>
      <c r="F1170" s="481"/>
      <c r="G1170" s="338">
        <f>G1171+G1184</f>
        <v>26421.086770000002</v>
      </c>
      <c r="H1170" s="338">
        <f>H1171+H1184</f>
        <v>26421.086770000002</v>
      </c>
      <c r="I1170" s="338">
        <f t="shared" si="116"/>
        <v>100</v>
      </c>
    </row>
    <row r="1171" spans="1:10" ht="31.5" x14ac:dyDescent="0.25">
      <c r="A1171" s="116" t="s">
        <v>330</v>
      </c>
      <c r="B1171" s="432">
        <v>908</v>
      </c>
      <c r="C1171" s="481" t="s">
        <v>129</v>
      </c>
      <c r="D1171" s="481" t="s">
        <v>119</v>
      </c>
      <c r="E1171" s="481" t="s">
        <v>328</v>
      </c>
      <c r="F1171" s="481"/>
      <c r="G1171" s="338">
        <f>G1172+G1178</f>
        <v>26421.086770000002</v>
      </c>
      <c r="H1171" s="338">
        <f>H1172+H1178</f>
        <v>26421.086770000002</v>
      </c>
      <c r="I1171" s="338">
        <f t="shared" si="116"/>
        <v>100</v>
      </c>
    </row>
    <row r="1172" spans="1:10" ht="15.75" x14ac:dyDescent="0.25">
      <c r="A1172" s="317" t="s">
        <v>215</v>
      </c>
      <c r="B1172" s="482">
        <v>908</v>
      </c>
      <c r="C1172" s="268" t="s">
        <v>129</v>
      </c>
      <c r="D1172" s="268" t="s">
        <v>119</v>
      </c>
      <c r="E1172" s="268" t="s">
        <v>410</v>
      </c>
      <c r="F1172" s="268"/>
      <c r="G1172" s="337">
        <f>G1173+G1175</f>
        <v>125</v>
      </c>
      <c r="H1172" s="337">
        <f>H1173+H1175</f>
        <v>125</v>
      </c>
      <c r="I1172" s="337">
        <f t="shared" si="116"/>
        <v>100</v>
      </c>
    </row>
    <row r="1173" spans="1:10" ht="31.5" x14ac:dyDescent="0.25">
      <c r="A1173" s="335" t="s">
        <v>88</v>
      </c>
      <c r="B1173" s="482">
        <v>908</v>
      </c>
      <c r="C1173" s="268" t="s">
        <v>129</v>
      </c>
      <c r="D1173" s="268" t="s">
        <v>119</v>
      </c>
      <c r="E1173" s="268" t="s">
        <v>410</v>
      </c>
      <c r="F1173" s="268" t="s">
        <v>89</v>
      </c>
      <c r="G1173" s="337">
        <f>G1174</f>
        <v>125</v>
      </c>
      <c r="H1173" s="337">
        <f>H1174</f>
        <v>125</v>
      </c>
      <c r="I1173" s="337">
        <f t="shared" si="116"/>
        <v>100</v>
      </c>
    </row>
    <row r="1174" spans="1:10" ht="31.5" x14ac:dyDescent="0.25">
      <c r="A1174" s="335" t="s">
        <v>90</v>
      </c>
      <c r="B1174" s="482">
        <v>908</v>
      </c>
      <c r="C1174" s="268" t="s">
        <v>129</v>
      </c>
      <c r="D1174" s="268" t="s">
        <v>119</v>
      </c>
      <c r="E1174" s="268" t="s">
        <v>410</v>
      </c>
      <c r="F1174" s="268" t="s">
        <v>91</v>
      </c>
      <c r="G1174" s="337">
        <f>6473.0644-3000-1377.47547-1819.7-166.1968+210.1728-275+3567.5+125+60-3567.5-44.86493-60+5710.8-0.54039-419.5285-5290.73111</f>
        <v>125</v>
      </c>
      <c r="H1174" s="337">
        <v>125</v>
      </c>
      <c r="I1174" s="337">
        <f t="shared" si="116"/>
        <v>100</v>
      </c>
    </row>
    <row r="1175" spans="1:10" ht="15.75" hidden="1" x14ac:dyDescent="0.25">
      <c r="A1175" s="335" t="s">
        <v>92</v>
      </c>
      <c r="B1175" s="482">
        <v>908</v>
      </c>
      <c r="C1175" s="268" t="s">
        <v>129</v>
      </c>
      <c r="D1175" s="268" t="s">
        <v>119</v>
      </c>
      <c r="E1175" s="268" t="s">
        <v>410</v>
      </c>
      <c r="F1175" s="268" t="s">
        <v>98</v>
      </c>
      <c r="G1175" s="337">
        <f>G1176+G1177</f>
        <v>0</v>
      </c>
      <c r="H1175" s="337">
        <f>H1176+H1177</f>
        <v>0</v>
      </c>
      <c r="I1175" s="337" t="e">
        <f t="shared" si="116"/>
        <v>#DIV/0!</v>
      </c>
    </row>
    <row r="1176" spans="1:10" ht="47.25" hidden="1" x14ac:dyDescent="0.25">
      <c r="A1176" s="335" t="s">
        <v>110</v>
      </c>
      <c r="B1176" s="482">
        <v>908</v>
      </c>
      <c r="C1176" s="268" t="s">
        <v>129</v>
      </c>
      <c r="D1176" s="268" t="s">
        <v>119</v>
      </c>
      <c r="E1176" s="268" t="s">
        <v>410</v>
      </c>
      <c r="F1176" s="268" t="s">
        <v>105</v>
      </c>
      <c r="G1176" s="337">
        <v>0</v>
      </c>
      <c r="H1176" s="337">
        <v>0</v>
      </c>
      <c r="I1176" s="337" t="e">
        <f t="shared" si="116"/>
        <v>#DIV/0!</v>
      </c>
    </row>
    <row r="1177" spans="1:10" ht="15.75" hidden="1" x14ac:dyDescent="0.25">
      <c r="A1177" s="335" t="s">
        <v>99</v>
      </c>
      <c r="B1177" s="482">
        <v>908</v>
      </c>
      <c r="C1177" s="268" t="s">
        <v>129</v>
      </c>
      <c r="D1177" s="268" t="s">
        <v>119</v>
      </c>
      <c r="E1177" s="268" t="s">
        <v>410</v>
      </c>
      <c r="F1177" s="268" t="s">
        <v>100</v>
      </c>
      <c r="G1177" s="337">
        <v>0</v>
      </c>
      <c r="H1177" s="337">
        <v>0</v>
      </c>
      <c r="I1177" s="337" t="e">
        <f t="shared" si="116"/>
        <v>#DIV/0!</v>
      </c>
    </row>
    <row r="1178" spans="1:10" ht="31.5" x14ac:dyDescent="0.25">
      <c r="A1178" s="19" t="s">
        <v>371</v>
      </c>
      <c r="B1178" s="482">
        <v>908</v>
      </c>
      <c r="C1178" s="268" t="s">
        <v>129</v>
      </c>
      <c r="D1178" s="268" t="s">
        <v>119</v>
      </c>
      <c r="E1178" s="268" t="s">
        <v>393</v>
      </c>
      <c r="F1178" s="268"/>
      <c r="G1178" s="337">
        <f>G1181+G1179</f>
        <v>26296.086770000002</v>
      </c>
      <c r="H1178" s="337">
        <f>H1181+H1179</f>
        <v>26296.086770000002</v>
      </c>
      <c r="I1178" s="337">
        <f t="shared" si="116"/>
        <v>100</v>
      </c>
    </row>
    <row r="1179" spans="1:10" ht="31.5" x14ac:dyDescent="0.25">
      <c r="A1179" s="335" t="s">
        <v>88</v>
      </c>
      <c r="B1179" s="482">
        <v>908</v>
      </c>
      <c r="C1179" s="268" t="s">
        <v>129</v>
      </c>
      <c r="D1179" s="268" t="s">
        <v>119</v>
      </c>
      <c r="E1179" s="268" t="s">
        <v>393</v>
      </c>
      <c r="F1179" s="268" t="s">
        <v>89</v>
      </c>
      <c r="G1179" s="337">
        <f>G1180</f>
        <v>25244.37976</v>
      </c>
      <c r="H1179" s="337">
        <f>H1180</f>
        <v>25244.37976</v>
      </c>
      <c r="I1179" s="337">
        <f t="shared" si="116"/>
        <v>100</v>
      </c>
    </row>
    <row r="1180" spans="1:10" ht="31.5" x14ac:dyDescent="0.25">
      <c r="A1180" s="335" t="s">
        <v>90</v>
      </c>
      <c r="B1180" s="482">
        <v>908</v>
      </c>
      <c r="C1180" s="268" t="s">
        <v>129</v>
      </c>
      <c r="D1180" s="268" t="s">
        <v>119</v>
      </c>
      <c r="E1180" s="268" t="s">
        <v>393</v>
      </c>
      <c r="F1180" s="268" t="s">
        <v>91</v>
      </c>
      <c r="G1180" s="337">
        <f>5182.6+239.2+23.6+55.15+2611.6+7933.51017+7134.9-5.44566-184.66207+1834.89756+399.38804+19.64172</f>
        <v>25244.37976</v>
      </c>
      <c r="H1180" s="337">
        <v>25244.37976</v>
      </c>
      <c r="I1180" s="337">
        <f t="shared" si="116"/>
        <v>100</v>
      </c>
      <c r="J1180" s="341"/>
    </row>
    <row r="1181" spans="1:10" ht="20.25" customHeight="1" x14ac:dyDescent="0.25">
      <c r="A1181" s="335" t="s">
        <v>92</v>
      </c>
      <c r="B1181" s="482">
        <v>908</v>
      </c>
      <c r="C1181" s="268" t="s">
        <v>129</v>
      </c>
      <c r="D1181" s="268" t="s">
        <v>119</v>
      </c>
      <c r="E1181" s="268" t="s">
        <v>393</v>
      </c>
      <c r="F1181" s="268" t="s">
        <v>98</v>
      </c>
      <c r="G1181" s="337">
        <f>G1182+G1183</f>
        <v>1051.7070100000001</v>
      </c>
      <c r="H1181" s="337">
        <f>H1182+H1183</f>
        <v>1051.7070100000001</v>
      </c>
      <c r="I1181" s="337">
        <f t="shared" si="116"/>
        <v>100</v>
      </c>
    </row>
    <row r="1182" spans="1:10" ht="20.25" customHeight="1" x14ac:dyDescent="0.25">
      <c r="A1182" s="335" t="s">
        <v>99</v>
      </c>
      <c r="B1182" s="482">
        <v>908</v>
      </c>
      <c r="C1182" s="268" t="s">
        <v>129</v>
      </c>
      <c r="D1182" s="268" t="s">
        <v>119</v>
      </c>
      <c r="E1182" s="268" t="s">
        <v>393</v>
      </c>
      <c r="F1182" s="268" t="s">
        <v>100</v>
      </c>
      <c r="G1182" s="337">
        <f>7.2+6.8+0.4+955.9+74.13635+5.44566+1.825</f>
        <v>1051.7070100000001</v>
      </c>
      <c r="H1182" s="337">
        <v>1051.7070100000001</v>
      </c>
      <c r="I1182" s="337">
        <f t="shared" si="116"/>
        <v>100</v>
      </c>
      <c r="J1182" s="341"/>
    </row>
    <row r="1183" spans="1:10" ht="20.25" hidden="1" customHeight="1" x14ac:dyDescent="0.25">
      <c r="A1183" s="335" t="s">
        <v>258</v>
      </c>
      <c r="B1183" s="482">
        <v>908</v>
      </c>
      <c r="C1183" s="268" t="s">
        <v>129</v>
      </c>
      <c r="D1183" s="268" t="s">
        <v>119</v>
      </c>
      <c r="E1183" s="268" t="s">
        <v>393</v>
      </c>
      <c r="F1183" s="268" t="s">
        <v>94</v>
      </c>
      <c r="G1183" s="337"/>
      <c r="H1183" s="337"/>
      <c r="I1183" s="337" t="e">
        <f t="shared" si="116"/>
        <v>#DIV/0!</v>
      </c>
    </row>
    <row r="1184" spans="1:10" ht="48.75" hidden="1" customHeight="1" x14ac:dyDescent="0.25">
      <c r="A1184" s="116" t="s">
        <v>441</v>
      </c>
      <c r="B1184" s="432">
        <v>908</v>
      </c>
      <c r="C1184" s="481" t="s">
        <v>129</v>
      </c>
      <c r="D1184" s="481" t="s">
        <v>119</v>
      </c>
      <c r="E1184" s="481" t="s">
        <v>411</v>
      </c>
      <c r="F1184" s="481"/>
      <c r="G1184" s="338">
        <f>G1185+G1193+G1190+G1198</f>
        <v>0</v>
      </c>
      <c r="H1184" s="338">
        <f>H1185+H1193+H1190+H1198</f>
        <v>0</v>
      </c>
      <c r="I1184" s="337" t="e">
        <f t="shared" si="116"/>
        <v>#DIV/0!</v>
      </c>
    </row>
    <row r="1185" spans="1:9" ht="35.450000000000003" hidden="1" customHeight="1" x14ac:dyDescent="0.25">
      <c r="A1185" s="335" t="s">
        <v>298</v>
      </c>
      <c r="B1185" s="482">
        <v>908</v>
      </c>
      <c r="C1185" s="268" t="s">
        <v>129</v>
      </c>
      <c r="D1185" s="268" t="s">
        <v>119</v>
      </c>
      <c r="E1185" s="268" t="s">
        <v>412</v>
      </c>
      <c r="F1185" s="268"/>
      <c r="G1185" s="337">
        <f>G1186+G1188</f>
        <v>0</v>
      </c>
      <c r="H1185" s="337">
        <f>H1186+H1188</f>
        <v>0</v>
      </c>
      <c r="I1185" s="337" t="e">
        <f t="shared" si="116"/>
        <v>#DIV/0!</v>
      </c>
    </row>
    <row r="1186" spans="1:9" ht="34.5" hidden="1" customHeight="1" x14ac:dyDescent="0.25">
      <c r="A1186" s="335" t="s">
        <v>88</v>
      </c>
      <c r="B1186" s="482">
        <v>908</v>
      </c>
      <c r="C1186" s="268" t="s">
        <v>129</v>
      </c>
      <c r="D1186" s="268" t="s">
        <v>119</v>
      </c>
      <c r="E1186" s="268" t="s">
        <v>412</v>
      </c>
      <c r="F1186" s="268" t="s">
        <v>89</v>
      </c>
      <c r="G1186" s="337">
        <f>G1187</f>
        <v>0</v>
      </c>
      <c r="H1186" s="337">
        <f>H1187</f>
        <v>0</v>
      </c>
      <c r="I1186" s="337" t="e">
        <f t="shared" si="116"/>
        <v>#DIV/0!</v>
      </c>
    </row>
    <row r="1187" spans="1:9" ht="33" hidden="1" customHeight="1" x14ac:dyDescent="0.25">
      <c r="A1187" s="335" t="s">
        <v>90</v>
      </c>
      <c r="B1187" s="482">
        <v>908</v>
      </c>
      <c r="C1187" s="268" t="s">
        <v>129</v>
      </c>
      <c r="D1187" s="268" t="s">
        <v>119</v>
      </c>
      <c r="E1187" s="268" t="s">
        <v>412</v>
      </c>
      <c r="F1187" s="268" t="s">
        <v>91</v>
      </c>
      <c r="G1187" s="337"/>
      <c r="H1187" s="337"/>
      <c r="I1187" s="337" t="e">
        <f t="shared" si="116"/>
        <v>#DIV/0!</v>
      </c>
    </row>
    <row r="1188" spans="1:9" ht="20.25" hidden="1" customHeight="1" x14ac:dyDescent="0.25">
      <c r="A1188" s="335" t="s">
        <v>92</v>
      </c>
      <c r="B1188" s="482">
        <v>908</v>
      </c>
      <c r="C1188" s="268" t="s">
        <v>129</v>
      </c>
      <c r="D1188" s="268" t="s">
        <v>119</v>
      </c>
      <c r="E1188" s="268" t="s">
        <v>412</v>
      </c>
      <c r="F1188" s="268" t="s">
        <v>302</v>
      </c>
      <c r="G1188" s="337">
        <f>G1189</f>
        <v>0</v>
      </c>
      <c r="H1188" s="337">
        <f>H1189</f>
        <v>0</v>
      </c>
      <c r="I1188" s="337" t="e">
        <f t="shared" si="116"/>
        <v>#DIV/0!</v>
      </c>
    </row>
    <row r="1189" spans="1:9" ht="20.25" hidden="1" customHeight="1" x14ac:dyDescent="0.25">
      <c r="A1189" s="335" t="s">
        <v>223</v>
      </c>
      <c r="B1189" s="482">
        <v>908</v>
      </c>
      <c r="C1189" s="268" t="s">
        <v>129</v>
      </c>
      <c r="D1189" s="268" t="s">
        <v>119</v>
      </c>
      <c r="E1189" s="268" t="s">
        <v>412</v>
      </c>
      <c r="F1189" s="268" t="s">
        <v>486</v>
      </c>
      <c r="G1189" s="337">
        <v>0</v>
      </c>
      <c r="H1189" s="337">
        <v>0</v>
      </c>
      <c r="I1189" s="337" t="e">
        <f t="shared" si="116"/>
        <v>#DIV/0!</v>
      </c>
    </row>
    <row r="1190" spans="1:9" ht="15.75" hidden="1" x14ac:dyDescent="0.25">
      <c r="A1190" s="335" t="s">
        <v>870</v>
      </c>
      <c r="B1190" s="482">
        <v>908</v>
      </c>
      <c r="C1190" s="268" t="s">
        <v>129</v>
      </c>
      <c r="D1190" s="268" t="s">
        <v>119</v>
      </c>
      <c r="E1190" s="268" t="s">
        <v>413</v>
      </c>
      <c r="F1190" s="268"/>
      <c r="G1190" s="337">
        <f>G1191</f>
        <v>0</v>
      </c>
      <c r="H1190" s="337">
        <f>H1191</f>
        <v>0</v>
      </c>
      <c r="I1190" s="337" t="e">
        <f t="shared" si="116"/>
        <v>#DIV/0!</v>
      </c>
    </row>
    <row r="1191" spans="1:9" ht="33.75" hidden="1" customHeight="1" x14ac:dyDescent="0.25">
      <c r="A1191" s="335" t="s">
        <v>88</v>
      </c>
      <c r="B1191" s="482">
        <v>908</v>
      </c>
      <c r="C1191" s="268" t="s">
        <v>129</v>
      </c>
      <c r="D1191" s="268" t="s">
        <v>119</v>
      </c>
      <c r="E1191" s="268" t="s">
        <v>413</v>
      </c>
      <c r="F1191" s="268" t="s">
        <v>89</v>
      </c>
      <c r="G1191" s="337">
        <f>G1192</f>
        <v>0</v>
      </c>
      <c r="H1191" s="337">
        <f>H1192</f>
        <v>0</v>
      </c>
      <c r="I1191" s="337" t="e">
        <f t="shared" si="116"/>
        <v>#DIV/0!</v>
      </c>
    </row>
    <row r="1192" spans="1:9" ht="32.25" hidden="1" customHeight="1" x14ac:dyDescent="0.25">
      <c r="A1192" s="335" t="s">
        <v>90</v>
      </c>
      <c r="B1192" s="482">
        <v>908</v>
      </c>
      <c r="C1192" s="268" t="s">
        <v>129</v>
      </c>
      <c r="D1192" s="268" t="s">
        <v>119</v>
      </c>
      <c r="E1192" s="268" t="s">
        <v>413</v>
      </c>
      <c r="F1192" s="268" t="s">
        <v>91</v>
      </c>
      <c r="G1192" s="337">
        <v>0</v>
      </c>
      <c r="H1192" s="337">
        <v>0</v>
      </c>
      <c r="I1192" s="337" t="e">
        <f t="shared" si="116"/>
        <v>#DIV/0!</v>
      </c>
    </row>
    <row r="1193" spans="1:9" ht="47.25" hidden="1" customHeight="1" x14ac:dyDescent="0.25">
      <c r="A1193" s="66" t="s">
        <v>299</v>
      </c>
      <c r="B1193" s="482">
        <v>908</v>
      </c>
      <c r="C1193" s="268" t="s">
        <v>129</v>
      </c>
      <c r="D1193" s="268" t="s">
        <v>119</v>
      </c>
      <c r="E1193" s="268" t="s">
        <v>414</v>
      </c>
      <c r="F1193" s="268"/>
      <c r="G1193" s="337">
        <f>G1194+G1196</f>
        <v>0</v>
      </c>
      <c r="H1193" s="337">
        <f>H1194+H1196</f>
        <v>0</v>
      </c>
      <c r="I1193" s="337" t="e">
        <f t="shared" si="116"/>
        <v>#DIV/0!</v>
      </c>
    </row>
    <row r="1194" spans="1:9" ht="34.5" hidden="1" customHeight="1" x14ac:dyDescent="0.25">
      <c r="A1194" s="335" t="s">
        <v>303</v>
      </c>
      <c r="B1194" s="482">
        <v>908</v>
      </c>
      <c r="C1194" s="268" t="s">
        <v>129</v>
      </c>
      <c r="D1194" s="268" t="s">
        <v>119</v>
      </c>
      <c r="E1194" s="268" t="s">
        <v>414</v>
      </c>
      <c r="F1194" s="268" t="s">
        <v>302</v>
      </c>
      <c r="G1194" s="337">
        <f>G1195</f>
        <v>0</v>
      </c>
      <c r="H1194" s="337">
        <f>H1195</f>
        <v>0</v>
      </c>
      <c r="I1194" s="337" t="e">
        <f t="shared" si="116"/>
        <v>#DIV/0!</v>
      </c>
    </row>
    <row r="1195" spans="1:9" ht="47.25" hidden="1" customHeight="1" x14ac:dyDescent="0.25">
      <c r="A1195" s="335" t="s">
        <v>471</v>
      </c>
      <c r="B1195" s="482">
        <v>908</v>
      </c>
      <c r="C1195" s="268" t="s">
        <v>129</v>
      </c>
      <c r="D1195" s="268" t="s">
        <v>119</v>
      </c>
      <c r="E1195" s="268" t="s">
        <v>414</v>
      </c>
      <c r="F1195" s="268" t="s">
        <v>486</v>
      </c>
      <c r="G1195" s="337">
        <v>0</v>
      </c>
      <c r="H1195" s="337">
        <v>0</v>
      </c>
      <c r="I1195" s="337" t="e">
        <f t="shared" si="116"/>
        <v>#DIV/0!</v>
      </c>
    </row>
    <row r="1196" spans="1:9" ht="17.45" hidden="1" customHeight="1" x14ac:dyDescent="0.25">
      <c r="A1196" s="335" t="s">
        <v>92</v>
      </c>
      <c r="B1196" s="482">
        <v>908</v>
      </c>
      <c r="C1196" s="268" t="s">
        <v>129</v>
      </c>
      <c r="D1196" s="268" t="s">
        <v>119</v>
      </c>
      <c r="E1196" s="268" t="s">
        <v>414</v>
      </c>
      <c r="F1196" s="268" t="s">
        <v>98</v>
      </c>
      <c r="G1196" s="337">
        <f>G1197</f>
        <v>0</v>
      </c>
      <c r="H1196" s="337">
        <f>H1197</f>
        <v>0</v>
      </c>
      <c r="I1196" s="337" t="e">
        <f t="shared" si="116"/>
        <v>#DIV/0!</v>
      </c>
    </row>
    <row r="1197" spans="1:9" ht="18.75" hidden="1" customHeight="1" x14ac:dyDescent="0.25">
      <c r="A1197" s="335" t="s">
        <v>258</v>
      </c>
      <c r="B1197" s="482">
        <v>908</v>
      </c>
      <c r="C1197" s="268" t="s">
        <v>129</v>
      </c>
      <c r="D1197" s="268" t="s">
        <v>119</v>
      </c>
      <c r="E1197" s="268" t="s">
        <v>414</v>
      </c>
      <c r="F1197" s="268" t="s">
        <v>94</v>
      </c>
      <c r="G1197" s="337">
        <v>0</v>
      </c>
      <c r="H1197" s="337">
        <v>0</v>
      </c>
      <c r="I1197" s="337" t="e">
        <f t="shared" si="116"/>
        <v>#DIV/0!</v>
      </c>
    </row>
    <row r="1198" spans="1:9" ht="38.25" hidden="1" customHeight="1" x14ac:dyDescent="0.25">
      <c r="A1198" s="335" t="s">
        <v>487</v>
      </c>
      <c r="B1198" s="482">
        <v>908</v>
      </c>
      <c r="C1198" s="268" t="s">
        <v>129</v>
      </c>
      <c r="D1198" s="268" t="s">
        <v>119</v>
      </c>
      <c r="E1198" s="268" t="s">
        <v>488</v>
      </c>
      <c r="F1198" s="268"/>
      <c r="G1198" s="337">
        <f>G1199</f>
        <v>0</v>
      </c>
      <c r="H1198" s="337">
        <f>H1199</f>
        <v>0</v>
      </c>
      <c r="I1198" s="337" t="e">
        <f t="shared" si="116"/>
        <v>#DIV/0!</v>
      </c>
    </row>
    <row r="1199" spans="1:9" ht="32.25" hidden="1" customHeight="1" x14ac:dyDescent="0.25">
      <c r="A1199" s="335" t="s">
        <v>88</v>
      </c>
      <c r="B1199" s="482">
        <v>908</v>
      </c>
      <c r="C1199" s="268" t="s">
        <v>129</v>
      </c>
      <c r="D1199" s="268" t="s">
        <v>119</v>
      </c>
      <c r="E1199" s="268" t="s">
        <v>488</v>
      </c>
      <c r="F1199" s="268" t="s">
        <v>89</v>
      </c>
      <c r="G1199" s="337">
        <f>G1200</f>
        <v>0</v>
      </c>
      <c r="H1199" s="337">
        <f>H1200</f>
        <v>0</v>
      </c>
      <c r="I1199" s="337" t="e">
        <f t="shared" si="116"/>
        <v>#DIV/0!</v>
      </c>
    </row>
    <row r="1200" spans="1:9" ht="35.450000000000003" hidden="1" customHeight="1" x14ac:dyDescent="0.25">
      <c r="A1200" s="335" t="s">
        <v>90</v>
      </c>
      <c r="B1200" s="482">
        <v>908</v>
      </c>
      <c r="C1200" s="268" t="s">
        <v>129</v>
      </c>
      <c r="D1200" s="268" t="s">
        <v>119</v>
      </c>
      <c r="E1200" s="268" t="s">
        <v>488</v>
      </c>
      <c r="F1200" s="268" t="s">
        <v>91</v>
      </c>
      <c r="G1200" s="337">
        <v>0</v>
      </c>
      <c r="H1200" s="337">
        <v>0</v>
      </c>
      <c r="I1200" s="337" t="e">
        <f t="shared" si="116"/>
        <v>#DIV/0!</v>
      </c>
    </row>
    <row r="1201" spans="1:10" ht="52.9" customHeight="1" x14ac:dyDescent="0.25">
      <c r="A1201" s="116" t="s">
        <v>871</v>
      </c>
      <c r="B1201" s="432">
        <v>908</v>
      </c>
      <c r="C1201" s="481" t="s">
        <v>129</v>
      </c>
      <c r="D1201" s="481" t="s">
        <v>119</v>
      </c>
      <c r="E1201" s="481" t="s">
        <v>208</v>
      </c>
      <c r="F1201" s="481"/>
      <c r="G1201" s="338">
        <f>G1202+G1206+G1212+G1216+G1228+G1224+G1220+G1232</f>
        <v>24891.364849999998</v>
      </c>
      <c r="H1201" s="338">
        <f>H1202+H1206+H1212+H1216+H1228+H1224+H1220+H1232</f>
        <v>24891.364849999998</v>
      </c>
      <c r="I1201" s="338">
        <f t="shared" si="116"/>
        <v>100</v>
      </c>
    </row>
    <row r="1202" spans="1:10" ht="33.75" customHeight="1" x14ac:dyDescent="0.25">
      <c r="A1202" s="116" t="s">
        <v>394</v>
      </c>
      <c r="B1202" s="432">
        <v>908</v>
      </c>
      <c r="C1202" s="481" t="s">
        <v>129</v>
      </c>
      <c r="D1202" s="481" t="s">
        <v>119</v>
      </c>
      <c r="E1202" s="481" t="s">
        <v>396</v>
      </c>
      <c r="F1202" s="481"/>
      <c r="G1202" s="338">
        <f t="shared" ref="G1202:H1204" si="117">G1203</f>
        <v>635.06700000000001</v>
      </c>
      <c r="H1202" s="338">
        <f t="shared" si="117"/>
        <v>635.06700000000001</v>
      </c>
      <c r="I1202" s="337">
        <f t="shared" si="116"/>
        <v>100</v>
      </c>
    </row>
    <row r="1203" spans="1:10" ht="15.75" x14ac:dyDescent="0.25">
      <c r="A1203" s="26" t="s">
        <v>395</v>
      </c>
      <c r="B1203" s="482">
        <v>908</v>
      </c>
      <c r="C1203" s="485" t="s">
        <v>129</v>
      </c>
      <c r="D1203" s="485" t="s">
        <v>119</v>
      </c>
      <c r="E1203" s="268" t="s">
        <v>397</v>
      </c>
      <c r="F1203" s="485"/>
      <c r="G1203" s="337">
        <f t="shared" si="117"/>
        <v>635.06700000000001</v>
      </c>
      <c r="H1203" s="337">
        <f t="shared" si="117"/>
        <v>635.06700000000001</v>
      </c>
      <c r="I1203" s="337">
        <f t="shared" si="116"/>
        <v>100</v>
      </c>
    </row>
    <row r="1204" spans="1:10" ht="31.5" x14ac:dyDescent="0.25">
      <c r="A1204" s="20" t="s">
        <v>88</v>
      </c>
      <c r="B1204" s="482">
        <v>908</v>
      </c>
      <c r="C1204" s="485" t="s">
        <v>129</v>
      </c>
      <c r="D1204" s="485" t="s">
        <v>119</v>
      </c>
      <c r="E1204" s="268" t="s">
        <v>397</v>
      </c>
      <c r="F1204" s="485" t="s">
        <v>89</v>
      </c>
      <c r="G1204" s="337">
        <f t="shared" si="117"/>
        <v>635.06700000000001</v>
      </c>
      <c r="H1204" s="337">
        <f t="shared" si="117"/>
        <v>635.06700000000001</v>
      </c>
      <c r="I1204" s="337">
        <f t="shared" si="116"/>
        <v>100</v>
      </c>
    </row>
    <row r="1205" spans="1:10" ht="31.5" x14ac:dyDescent="0.25">
      <c r="A1205" s="20" t="s">
        <v>90</v>
      </c>
      <c r="B1205" s="482">
        <v>908</v>
      </c>
      <c r="C1205" s="485" t="s">
        <v>129</v>
      </c>
      <c r="D1205" s="485" t="s">
        <v>119</v>
      </c>
      <c r="E1205" s="268" t="s">
        <v>397</v>
      </c>
      <c r="F1205" s="485" t="s">
        <v>91</v>
      </c>
      <c r="G1205" s="337">
        <f>700-280-7.2+30+122.426-0.023+69.864</f>
        <v>635.06700000000001</v>
      </c>
      <c r="H1205" s="337">
        <v>635.06700000000001</v>
      </c>
      <c r="I1205" s="337">
        <f t="shared" si="116"/>
        <v>100</v>
      </c>
      <c r="J1205" s="341"/>
    </row>
    <row r="1206" spans="1:10" ht="15.75" hidden="1" x14ac:dyDescent="0.25">
      <c r="A1206" s="22" t="s">
        <v>398</v>
      </c>
      <c r="B1206" s="432">
        <v>908</v>
      </c>
      <c r="C1206" s="484" t="s">
        <v>129</v>
      </c>
      <c r="D1206" s="484" t="s">
        <v>119</v>
      </c>
      <c r="E1206" s="481" t="s">
        <v>399</v>
      </c>
      <c r="F1206" s="484"/>
      <c r="G1206" s="338">
        <f t="shared" ref="G1206:H1208" si="118">G1207</f>
        <v>0</v>
      </c>
      <c r="H1206" s="338">
        <f t="shared" si="118"/>
        <v>0</v>
      </c>
      <c r="I1206" s="337" t="e">
        <f t="shared" si="116"/>
        <v>#DIV/0!</v>
      </c>
    </row>
    <row r="1207" spans="1:10" ht="15.75" hidden="1" x14ac:dyDescent="0.25">
      <c r="A1207" s="26" t="s">
        <v>209</v>
      </c>
      <c r="B1207" s="482">
        <v>908</v>
      </c>
      <c r="C1207" s="485" t="s">
        <v>129</v>
      </c>
      <c r="D1207" s="485" t="s">
        <v>119</v>
      </c>
      <c r="E1207" s="268" t="s">
        <v>402</v>
      </c>
      <c r="F1207" s="485"/>
      <c r="G1207" s="337">
        <f>G1208+G1210</f>
        <v>0</v>
      </c>
      <c r="H1207" s="337">
        <f>H1208+H1210</f>
        <v>0</v>
      </c>
      <c r="I1207" s="337" t="e">
        <f t="shared" si="116"/>
        <v>#DIV/0!</v>
      </c>
    </row>
    <row r="1208" spans="1:10" ht="31.5" hidden="1" x14ac:dyDescent="0.25">
      <c r="A1208" s="20" t="s">
        <v>88</v>
      </c>
      <c r="B1208" s="482">
        <v>908</v>
      </c>
      <c r="C1208" s="485" t="s">
        <v>129</v>
      </c>
      <c r="D1208" s="485" t="s">
        <v>119</v>
      </c>
      <c r="E1208" s="268" t="s">
        <v>402</v>
      </c>
      <c r="F1208" s="485" t="s">
        <v>89</v>
      </c>
      <c r="G1208" s="337">
        <f t="shared" si="118"/>
        <v>0</v>
      </c>
      <c r="H1208" s="337">
        <f t="shared" si="118"/>
        <v>0</v>
      </c>
      <c r="I1208" s="337" t="e">
        <f t="shared" si="116"/>
        <v>#DIV/0!</v>
      </c>
    </row>
    <row r="1209" spans="1:10" ht="31.5" hidden="1" x14ac:dyDescent="0.25">
      <c r="A1209" s="20" t="s">
        <v>90</v>
      </c>
      <c r="B1209" s="482">
        <v>908</v>
      </c>
      <c r="C1209" s="485" t="s">
        <v>129</v>
      </c>
      <c r="D1209" s="485" t="s">
        <v>119</v>
      </c>
      <c r="E1209" s="268" t="s">
        <v>402</v>
      </c>
      <c r="F1209" s="485" t="s">
        <v>91</v>
      </c>
      <c r="G1209" s="342"/>
      <c r="H1209" s="342"/>
      <c r="I1209" s="337" t="e">
        <f t="shared" si="116"/>
        <v>#DIV/0!</v>
      </c>
    </row>
    <row r="1210" spans="1:10" ht="15.75" hidden="1" x14ac:dyDescent="0.25">
      <c r="A1210" s="335" t="s">
        <v>92</v>
      </c>
      <c r="B1210" s="482">
        <v>908</v>
      </c>
      <c r="C1210" s="485" t="s">
        <v>129</v>
      </c>
      <c r="D1210" s="485" t="s">
        <v>119</v>
      </c>
      <c r="E1210" s="268" t="s">
        <v>402</v>
      </c>
      <c r="F1210" s="485" t="s">
        <v>98</v>
      </c>
      <c r="G1210" s="342">
        <f>G1211</f>
        <v>0</v>
      </c>
      <c r="H1210" s="342">
        <f>H1211</f>
        <v>0</v>
      </c>
      <c r="I1210" s="337" t="e">
        <f t="shared" si="116"/>
        <v>#DIV/0!</v>
      </c>
    </row>
    <row r="1211" spans="1:10" ht="15.75" hidden="1" x14ac:dyDescent="0.25">
      <c r="A1211" s="335" t="s">
        <v>820</v>
      </c>
      <c r="B1211" s="482">
        <v>908</v>
      </c>
      <c r="C1211" s="485" t="s">
        <v>129</v>
      </c>
      <c r="D1211" s="485" t="s">
        <v>119</v>
      </c>
      <c r="E1211" s="268" t="s">
        <v>402</v>
      </c>
      <c r="F1211" s="485" t="s">
        <v>100</v>
      </c>
      <c r="G1211" s="342"/>
      <c r="H1211" s="342"/>
      <c r="I1211" s="337" t="e">
        <f t="shared" si="116"/>
        <v>#DIV/0!</v>
      </c>
    </row>
    <row r="1212" spans="1:10" ht="16.5" hidden="1" customHeight="1" x14ac:dyDescent="0.25">
      <c r="A1212" s="30" t="s">
        <v>400</v>
      </c>
      <c r="B1212" s="432">
        <v>908</v>
      </c>
      <c r="C1212" s="484" t="s">
        <v>129</v>
      </c>
      <c r="D1212" s="484" t="s">
        <v>119</v>
      </c>
      <c r="E1212" s="481" t="s">
        <v>401</v>
      </c>
      <c r="F1212" s="484"/>
      <c r="G1212" s="343">
        <f t="shared" ref="G1212:H1214" si="119">G1213</f>
        <v>0</v>
      </c>
      <c r="H1212" s="343">
        <f t="shared" si="119"/>
        <v>0</v>
      </c>
      <c r="I1212" s="337" t="e">
        <f t="shared" si="116"/>
        <v>#DIV/0!</v>
      </c>
    </row>
    <row r="1213" spans="1:10" ht="15.75" hidden="1" x14ac:dyDescent="0.25">
      <c r="A1213" s="26" t="s">
        <v>210</v>
      </c>
      <c r="B1213" s="482">
        <v>908</v>
      </c>
      <c r="C1213" s="485" t="s">
        <v>129</v>
      </c>
      <c r="D1213" s="485" t="s">
        <v>119</v>
      </c>
      <c r="E1213" s="268" t="s">
        <v>403</v>
      </c>
      <c r="F1213" s="485"/>
      <c r="G1213" s="337">
        <f t="shared" si="119"/>
        <v>0</v>
      </c>
      <c r="H1213" s="337">
        <f t="shared" si="119"/>
        <v>0</v>
      </c>
      <c r="I1213" s="337" t="e">
        <f t="shared" si="116"/>
        <v>#DIV/0!</v>
      </c>
    </row>
    <row r="1214" spans="1:10" ht="31.5" hidden="1" x14ac:dyDescent="0.25">
      <c r="A1214" s="20" t="s">
        <v>88</v>
      </c>
      <c r="B1214" s="482">
        <v>908</v>
      </c>
      <c r="C1214" s="485" t="s">
        <v>129</v>
      </c>
      <c r="D1214" s="485" t="s">
        <v>119</v>
      </c>
      <c r="E1214" s="268" t="s">
        <v>403</v>
      </c>
      <c r="F1214" s="485" t="s">
        <v>89</v>
      </c>
      <c r="G1214" s="337">
        <f t="shared" si="119"/>
        <v>0</v>
      </c>
      <c r="H1214" s="337">
        <f t="shared" si="119"/>
        <v>0</v>
      </c>
      <c r="I1214" s="337" t="e">
        <f t="shared" si="116"/>
        <v>#DIV/0!</v>
      </c>
    </row>
    <row r="1215" spans="1:10" ht="31.5" hidden="1" x14ac:dyDescent="0.25">
      <c r="A1215" s="20" t="s">
        <v>90</v>
      </c>
      <c r="B1215" s="482">
        <v>908</v>
      </c>
      <c r="C1215" s="485" t="s">
        <v>129</v>
      </c>
      <c r="D1215" s="485" t="s">
        <v>119</v>
      </c>
      <c r="E1215" s="268" t="s">
        <v>403</v>
      </c>
      <c r="F1215" s="485" t="s">
        <v>91</v>
      </c>
      <c r="G1215" s="342"/>
      <c r="H1215" s="342"/>
      <c r="I1215" s="337" t="e">
        <f t="shared" si="116"/>
        <v>#DIV/0!</v>
      </c>
    </row>
    <row r="1216" spans="1:10" ht="31.5" hidden="1" x14ac:dyDescent="0.25">
      <c r="A1216" s="30" t="s">
        <v>404</v>
      </c>
      <c r="B1216" s="432">
        <v>908</v>
      </c>
      <c r="C1216" s="484" t="s">
        <v>129</v>
      </c>
      <c r="D1216" s="484" t="s">
        <v>119</v>
      </c>
      <c r="E1216" s="481" t="s">
        <v>405</v>
      </c>
      <c r="F1216" s="484"/>
      <c r="G1216" s="343">
        <f t="shared" ref="G1216:H1218" si="120">G1217</f>
        <v>0</v>
      </c>
      <c r="H1216" s="343">
        <f t="shared" si="120"/>
        <v>0</v>
      </c>
      <c r="I1216" s="337" t="e">
        <f t="shared" si="116"/>
        <v>#DIV/0!</v>
      </c>
    </row>
    <row r="1217" spans="1:10" ht="15.75" hidden="1" x14ac:dyDescent="0.25">
      <c r="A1217" s="26" t="s">
        <v>211</v>
      </c>
      <c r="B1217" s="482">
        <v>908</v>
      </c>
      <c r="C1217" s="485" t="s">
        <v>129</v>
      </c>
      <c r="D1217" s="485" t="s">
        <v>119</v>
      </c>
      <c r="E1217" s="268" t="s">
        <v>406</v>
      </c>
      <c r="F1217" s="485"/>
      <c r="G1217" s="337">
        <f t="shared" si="120"/>
        <v>0</v>
      </c>
      <c r="H1217" s="337">
        <f t="shared" si="120"/>
        <v>0</v>
      </c>
      <c r="I1217" s="337" t="e">
        <f t="shared" si="116"/>
        <v>#DIV/0!</v>
      </c>
    </row>
    <row r="1218" spans="1:10" ht="31.5" hidden="1" x14ac:dyDescent="0.25">
      <c r="A1218" s="20" t="s">
        <v>88</v>
      </c>
      <c r="B1218" s="482">
        <v>908</v>
      </c>
      <c r="C1218" s="485" t="s">
        <v>129</v>
      </c>
      <c r="D1218" s="485" t="s">
        <v>119</v>
      </c>
      <c r="E1218" s="268" t="s">
        <v>406</v>
      </c>
      <c r="F1218" s="485" t="s">
        <v>89</v>
      </c>
      <c r="G1218" s="337">
        <f t="shared" si="120"/>
        <v>0</v>
      </c>
      <c r="H1218" s="337">
        <f t="shared" si="120"/>
        <v>0</v>
      </c>
      <c r="I1218" s="337" t="e">
        <f t="shared" si="116"/>
        <v>#DIV/0!</v>
      </c>
    </row>
    <row r="1219" spans="1:10" ht="31.5" hidden="1" x14ac:dyDescent="0.25">
      <c r="A1219" s="20" t="s">
        <v>90</v>
      </c>
      <c r="B1219" s="482">
        <v>908</v>
      </c>
      <c r="C1219" s="485" t="s">
        <v>129</v>
      </c>
      <c r="D1219" s="485" t="s">
        <v>119</v>
      </c>
      <c r="E1219" s="268" t="s">
        <v>406</v>
      </c>
      <c r="F1219" s="485" t="s">
        <v>91</v>
      </c>
      <c r="G1219" s="342"/>
      <c r="H1219" s="342"/>
      <c r="I1219" s="337" t="e">
        <f t="shared" si="116"/>
        <v>#DIV/0!</v>
      </c>
    </row>
    <row r="1220" spans="1:10" ht="21.6" hidden="1" customHeight="1" x14ac:dyDescent="0.25">
      <c r="A1220" s="22" t="s">
        <v>442</v>
      </c>
      <c r="B1220" s="432">
        <v>908</v>
      </c>
      <c r="C1220" s="484" t="s">
        <v>129</v>
      </c>
      <c r="D1220" s="484" t="s">
        <v>119</v>
      </c>
      <c r="E1220" s="481" t="s">
        <v>443</v>
      </c>
      <c r="F1220" s="484"/>
      <c r="G1220" s="343">
        <f t="shared" ref="G1220:H1222" si="121">G1221</f>
        <v>0</v>
      </c>
      <c r="H1220" s="343">
        <f t="shared" si="121"/>
        <v>0</v>
      </c>
      <c r="I1220" s="337" t="e">
        <f t="shared" si="116"/>
        <v>#DIV/0!</v>
      </c>
    </row>
    <row r="1221" spans="1:10" ht="15.75" hidden="1" x14ac:dyDescent="0.25">
      <c r="A1221" s="26" t="s">
        <v>212</v>
      </c>
      <c r="B1221" s="482">
        <v>908</v>
      </c>
      <c r="C1221" s="485" t="s">
        <v>129</v>
      </c>
      <c r="D1221" s="485" t="s">
        <v>119</v>
      </c>
      <c r="E1221" s="268" t="s">
        <v>446</v>
      </c>
      <c r="F1221" s="485"/>
      <c r="G1221" s="337">
        <f t="shared" si="121"/>
        <v>0</v>
      </c>
      <c r="H1221" s="337">
        <f t="shared" si="121"/>
        <v>0</v>
      </c>
      <c r="I1221" s="337" t="e">
        <f t="shared" si="116"/>
        <v>#DIV/0!</v>
      </c>
    </row>
    <row r="1222" spans="1:10" ht="31.5" hidden="1" x14ac:dyDescent="0.25">
      <c r="A1222" s="20" t="s">
        <v>88</v>
      </c>
      <c r="B1222" s="482">
        <v>908</v>
      </c>
      <c r="C1222" s="485" t="s">
        <v>129</v>
      </c>
      <c r="D1222" s="485" t="s">
        <v>119</v>
      </c>
      <c r="E1222" s="268" t="s">
        <v>446</v>
      </c>
      <c r="F1222" s="485" t="s">
        <v>89</v>
      </c>
      <c r="G1222" s="337">
        <f t="shared" si="121"/>
        <v>0</v>
      </c>
      <c r="H1222" s="337">
        <f t="shared" si="121"/>
        <v>0</v>
      </c>
      <c r="I1222" s="337" t="e">
        <f t="shared" si="116"/>
        <v>#DIV/0!</v>
      </c>
    </row>
    <row r="1223" spans="1:10" ht="31.5" hidden="1" x14ac:dyDescent="0.25">
      <c r="A1223" s="20" t="s">
        <v>90</v>
      </c>
      <c r="B1223" s="482">
        <v>908</v>
      </c>
      <c r="C1223" s="485" t="s">
        <v>129</v>
      </c>
      <c r="D1223" s="485" t="s">
        <v>119</v>
      </c>
      <c r="E1223" s="268" t="s">
        <v>446</v>
      </c>
      <c r="F1223" s="485" t="s">
        <v>91</v>
      </c>
      <c r="G1223" s="337"/>
      <c r="H1223" s="337"/>
      <c r="I1223" s="337" t="e">
        <f t="shared" si="116"/>
        <v>#DIV/0!</v>
      </c>
    </row>
    <row r="1224" spans="1:10" ht="31.5" hidden="1" x14ac:dyDescent="0.25">
      <c r="A1224" s="81" t="s">
        <v>444</v>
      </c>
      <c r="B1224" s="432">
        <v>908</v>
      </c>
      <c r="C1224" s="484" t="s">
        <v>129</v>
      </c>
      <c r="D1224" s="484" t="s">
        <v>119</v>
      </c>
      <c r="E1224" s="481" t="s">
        <v>445</v>
      </c>
      <c r="F1224" s="484"/>
      <c r="G1224" s="338">
        <f t="shared" ref="G1224:H1226" si="122">G1225</f>
        <v>0</v>
      </c>
      <c r="H1224" s="338">
        <f t="shared" si="122"/>
        <v>0</v>
      </c>
      <c r="I1224" s="337" t="e">
        <f t="shared" si="116"/>
        <v>#DIV/0!</v>
      </c>
    </row>
    <row r="1225" spans="1:10" ht="21.75" hidden="1" customHeight="1" x14ac:dyDescent="0.25">
      <c r="A1225" s="66" t="s">
        <v>213</v>
      </c>
      <c r="B1225" s="482">
        <v>908</v>
      </c>
      <c r="C1225" s="485" t="s">
        <v>129</v>
      </c>
      <c r="D1225" s="485" t="s">
        <v>119</v>
      </c>
      <c r="E1225" s="268" t="s">
        <v>447</v>
      </c>
      <c r="F1225" s="485"/>
      <c r="G1225" s="337">
        <f t="shared" si="122"/>
        <v>0</v>
      </c>
      <c r="H1225" s="337">
        <f t="shared" si="122"/>
        <v>0</v>
      </c>
      <c r="I1225" s="337" t="e">
        <f t="shared" si="116"/>
        <v>#DIV/0!</v>
      </c>
    </row>
    <row r="1226" spans="1:10" ht="31.7" hidden="1" customHeight="1" x14ac:dyDescent="0.25">
      <c r="A1226" s="20" t="s">
        <v>88</v>
      </c>
      <c r="B1226" s="482">
        <v>908</v>
      </c>
      <c r="C1226" s="485" t="s">
        <v>129</v>
      </c>
      <c r="D1226" s="485" t="s">
        <v>119</v>
      </c>
      <c r="E1226" s="268" t="s">
        <v>447</v>
      </c>
      <c r="F1226" s="485" t="s">
        <v>89</v>
      </c>
      <c r="G1226" s="337">
        <f t="shared" si="122"/>
        <v>0</v>
      </c>
      <c r="H1226" s="337">
        <f t="shared" si="122"/>
        <v>0</v>
      </c>
      <c r="I1226" s="337" t="e">
        <f t="shared" si="116"/>
        <v>#DIV/0!</v>
      </c>
    </row>
    <row r="1227" spans="1:10" ht="36" hidden="1" customHeight="1" x14ac:dyDescent="0.25">
      <c r="A1227" s="20" t="s">
        <v>90</v>
      </c>
      <c r="B1227" s="482">
        <v>908</v>
      </c>
      <c r="C1227" s="485" t="s">
        <v>129</v>
      </c>
      <c r="D1227" s="485" t="s">
        <v>119</v>
      </c>
      <c r="E1227" s="268" t="s">
        <v>447</v>
      </c>
      <c r="F1227" s="485" t="s">
        <v>91</v>
      </c>
      <c r="G1227" s="337">
        <v>0</v>
      </c>
      <c r="H1227" s="337">
        <v>0</v>
      </c>
      <c r="I1227" s="337" t="e">
        <f t="shared" si="116"/>
        <v>#DIV/0!</v>
      </c>
    </row>
    <row r="1228" spans="1:10" ht="31.7" customHeight="1" x14ac:dyDescent="0.25">
      <c r="A1228" s="81" t="s">
        <v>408</v>
      </c>
      <c r="B1228" s="432">
        <v>908</v>
      </c>
      <c r="C1228" s="484" t="s">
        <v>129</v>
      </c>
      <c r="D1228" s="484" t="s">
        <v>119</v>
      </c>
      <c r="E1228" s="481" t="s">
        <v>409</v>
      </c>
      <c r="F1228" s="484"/>
      <c r="G1228" s="338">
        <f t="shared" ref="G1228:H1230" si="123">G1229</f>
        <v>13.55</v>
      </c>
      <c r="H1228" s="338">
        <f t="shared" si="123"/>
        <v>13.55</v>
      </c>
      <c r="I1228" s="338">
        <f t="shared" ref="I1228:I1291" si="124">H1228/G1228*100</f>
        <v>100</v>
      </c>
      <c r="J1228" s="289"/>
    </row>
    <row r="1229" spans="1:10" ht="15.75" x14ac:dyDescent="0.25">
      <c r="A1229" s="66" t="s">
        <v>214</v>
      </c>
      <c r="B1229" s="482">
        <v>908</v>
      </c>
      <c r="C1229" s="485" t="s">
        <v>129</v>
      </c>
      <c r="D1229" s="485" t="s">
        <v>119</v>
      </c>
      <c r="E1229" s="268" t="s">
        <v>407</v>
      </c>
      <c r="F1229" s="485"/>
      <c r="G1229" s="337">
        <f t="shared" si="123"/>
        <v>13.55</v>
      </c>
      <c r="H1229" s="337">
        <f t="shared" si="123"/>
        <v>13.55</v>
      </c>
      <c r="I1229" s="337">
        <f t="shared" si="124"/>
        <v>100</v>
      </c>
    </row>
    <row r="1230" spans="1:10" ht="31.5" x14ac:dyDescent="0.25">
      <c r="A1230" s="335" t="s">
        <v>88</v>
      </c>
      <c r="B1230" s="482">
        <v>908</v>
      </c>
      <c r="C1230" s="485" t="s">
        <v>129</v>
      </c>
      <c r="D1230" s="485" t="s">
        <v>119</v>
      </c>
      <c r="E1230" s="268" t="s">
        <v>407</v>
      </c>
      <c r="F1230" s="485" t="s">
        <v>89</v>
      </c>
      <c r="G1230" s="337">
        <f t="shared" si="123"/>
        <v>13.55</v>
      </c>
      <c r="H1230" s="337">
        <f t="shared" si="123"/>
        <v>13.55</v>
      </c>
      <c r="I1230" s="337">
        <f t="shared" si="124"/>
        <v>100</v>
      </c>
    </row>
    <row r="1231" spans="1:10" ht="31.5" x14ac:dyDescent="0.25">
      <c r="A1231" s="335" t="s">
        <v>90</v>
      </c>
      <c r="B1231" s="482">
        <v>908</v>
      </c>
      <c r="C1231" s="485" t="s">
        <v>129</v>
      </c>
      <c r="D1231" s="485" t="s">
        <v>119</v>
      </c>
      <c r="E1231" s="268" t="s">
        <v>407</v>
      </c>
      <c r="F1231" s="485" t="s">
        <v>91</v>
      </c>
      <c r="G1231" s="337">
        <f>13.55</f>
        <v>13.55</v>
      </c>
      <c r="H1231" s="337">
        <v>13.55</v>
      </c>
      <c r="I1231" s="337">
        <f t="shared" si="124"/>
        <v>100</v>
      </c>
    </row>
    <row r="1232" spans="1:10" ht="31.15" customHeight="1" x14ac:dyDescent="0.25">
      <c r="A1232" s="116" t="s">
        <v>814</v>
      </c>
      <c r="B1232" s="432">
        <v>908</v>
      </c>
      <c r="C1232" s="484" t="s">
        <v>129</v>
      </c>
      <c r="D1232" s="484" t="s">
        <v>119</v>
      </c>
      <c r="E1232" s="481" t="s">
        <v>816</v>
      </c>
      <c r="F1232" s="484"/>
      <c r="G1232" s="338">
        <f>G1234</f>
        <v>24242.74785</v>
      </c>
      <c r="H1232" s="338">
        <f>H1234</f>
        <v>24242.74785</v>
      </c>
      <c r="I1232" s="338">
        <f t="shared" si="124"/>
        <v>100</v>
      </c>
    </row>
    <row r="1233" spans="1:10" ht="31.5" x14ac:dyDescent="0.25">
      <c r="A1233" s="335" t="s">
        <v>817</v>
      </c>
      <c r="B1233" s="482">
        <v>908</v>
      </c>
      <c r="C1233" s="485" t="s">
        <v>129</v>
      </c>
      <c r="D1233" s="485" t="s">
        <v>119</v>
      </c>
      <c r="E1233" s="268" t="s">
        <v>1055</v>
      </c>
      <c r="F1233" s="485"/>
      <c r="G1233" s="337">
        <f>G1234</f>
        <v>24242.74785</v>
      </c>
      <c r="H1233" s="337">
        <f>H1234</f>
        <v>24242.74785</v>
      </c>
      <c r="I1233" s="337">
        <f t="shared" si="124"/>
        <v>100</v>
      </c>
    </row>
    <row r="1234" spans="1:10" ht="31.5" x14ac:dyDescent="0.25">
      <c r="A1234" s="335" t="s">
        <v>88</v>
      </c>
      <c r="B1234" s="482">
        <v>908</v>
      </c>
      <c r="C1234" s="485" t="s">
        <v>129</v>
      </c>
      <c r="D1234" s="485" t="s">
        <v>119</v>
      </c>
      <c r="E1234" s="268" t="s">
        <v>1055</v>
      </c>
      <c r="F1234" s="485" t="s">
        <v>89</v>
      </c>
      <c r="G1234" s="337">
        <f>G1235</f>
        <v>24242.74785</v>
      </c>
      <c r="H1234" s="337">
        <f>H1235</f>
        <v>24242.74785</v>
      </c>
      <c r="I1234" s="337">
        <f t="shared" si="124"/>
        <v>100</v>
      </c>
    </row>
    <row r="1235" spans="1:10" ht="33.75" customHeight="1" x14ac:dyDescent="0.25">
      <c r="A1235" s="335" t="s">
        <v>90</v>
      </c>
      <c r="B1235" s="482">
        <v>908</v>
      </c>
      <c r="C1235" s="485" t="s">
        <v>129</v>
      </c>
      <c r="D1235" s="485" t="s">
        <v>119</v>
      </c>
      <c r="E1235" s="268" t="s">
        <v>1055</v>
      </c>
      <c r="F1235" s="485" t="s">
        <v>91</v>
      </c>
      <c r="G1235" s="337">
        <f>1240.3+21728+1377.47547-91.34754+130.98207+16.88-147.86207-3.48598-8.1941</f>
        <v>24242.74785</v>
      </c>
      <c r="H1235" s="337">
        <v>24242.74785</v>
      </c>
      <c r="I1235" s="337">
        <f t="shared" si="124"/>
        <v>100</v>
      </c>
      <c r="J1235" s="341"/>
    </row>
    <row r="1236" spans="1:10" ht="31.5" hidden="1" x14ac:dyDescent="0.25">
      <c r="A1236" s="116" t="s">
        <v>902</v>
      </c>
      <c r="B1236" s="432">
        <v>908</v>
      </c>
      <c r="C1236" s="484" t="s">
        <v>129</v>
      </c>
      <c r="D1236" s="484" t="s">
        <v>119</v>
      </c>
      <c r="E1236" s="481" t="s">
        <v>539</v>
      </c>
      <c r="F1236" s="484"/>
      <c r="G1236" s="338">
        <f t="shared" ref="G1236:H1239" si="125">G1237</f>
        <v>0</v>
      </c>
      <c r="H1236" s="338">
        <f t="shared" si="125"/>
        <v>0</v>
      </c>
      <c r="I1236" s="337" t="e">
        <f t="shared" si="124"/>
        <v>#DIV/0!</v>
      </c>
    </row>
    <row r="1237" spans="1:10" ht="31.5" hidden="1" x14ac:dyDescent="0.25">
      <c r="A1237" s="116" t="s">
        <v>540</v>
      </c>
      <c r="B1237" s="432">
        <v>908</v>
      </c>
      <c r="C1237" s="484" t="s">
        <v>129</v>
      </c>
      <c r="D1237" s="484" t="s">
        <v>119</v>
      </c>
      <c r="E1237" s="481" t="s">
        <v>541</v>
      </c>
      <c r="F1237" s="484"/>
      <c r="G1237" s="338">
        <f t="shared" si="125"/>
        <v>0</v>
      </c>
      <c r="H1237" s="338">
        <f t="shared" si="125"/>
        <v>0</v>
      </c>
      <c r="I1237" s="337" t="e">
        <f t="shared" si="124"/>
        <v>#DIV/0!</v>
      </c>
    </row>
    <row r="1238" spans="1:10" ht="15.75" hidden="1" x14ac:dyDescent="0.25">
      <c r="A1238" s="335" t="s">
        <v>215</v>
      </c>
      <c r="B1238" s="482">
        <v>908</v>
      </c>
      <c r="C1238" s="485" t="s">
        <v>129</v>
      </c>
      <c r="D1238" s="485" t="s">
        <v>119</v>
      </c>
      <c r="E1238" s="268" t="s">
        <v>542</v>
      </c>
      <c r="F1238" s="485"/>
      <c r="G1238" s="337">
        <f t="shared" si="125"/>
        <v>0</v>
      </c>
      <c r="H1238" s="337">
        <f t="shared" si="125"/>
        <v>0</v>
      </c>
      <c r="I1238" s="337" t="e">
        <f t="shared" si="124"/>
        <v>#DIV/0!</v>
      </c>
    </row>
    <row r="1239" spans="1:10" ht="31.5" hidden="1" customHeight="1" x14ac:dyDescent="0.25">
      <c r="A1239" s="335" t="s">
        <v>88</v>
      </c>
      <c r="B1239" s="482">
        <v>908</v>
      </c>
      <c r="C1239" s="485" t="s">
        <v>129</v>
      </c>
      <c r="D1239" s="485" t="s">
        <v>119</v>
      </c>
      <c r="E1239" s="268" t="s">
        <v>542</v>
      </c>
      <c r="F1239" s="485" t="s">
        <v>89</v>
      </c>
      <c r="G1239" s="337">
        <f t="shared" si="125"/>
        <v>0</v>
      </c>
      <c r="H1239" s="337">
        <f t="shared" si="125"/>
        <v>0</v>
      </c>
      <c r="I1239" s="337" t="e">
        <f t="shared" si="124"/>
        <v>#DIV/0!</v>
      </c>
    </row>
    <row r="1240" spans="1:10" ht="31.5" hidden="1" customHeight="1" x14ac:dyDescent="0.25">
      <c r="A1240" s="335" t="s">
        <v>90</v>
      </c>
      <c r="B1240" s="482">
        <v>908</v>
      </c>
      <c r="C1240" s="485" t="s">
        <v>129</v>
      </c>
      <c r="D1240" s="485" t="s">
        <v>119</v>
      </c>
      <c r="E1240" s="268" t="s">
        <v>542</v>
      </c>
      <c r="F1240" s="485" t="s">
        <v>91</v>
      </c>
      <c r="G1240" s="337">
        <f>215-143.9-71.1</f>
        <v>0</v>
      </c>
      <c r="H1240" s="337">
        <f>215-143.9-71.1</f>
        <v>0</v>
      </c>
      <c r="I1240" s="337" t="e">
        <f t="shared" si="124"/>
        <v>#DIV/0!</v>
      </c>
      <c r="J1240" s="341"/>
    </row>
    <row r="1241" spans="1:10" ht="15.75" customHeight="1" x14ac:dyDescent="0.25">
      <c r="A1241" s="116" t="s">
        <v>216</v>
      </c>
      <c r="B1241" s="432">
        <v>908</v>
      </c>
      <c r="C1241" s="481" t="s">
        <v>129</v>
      </c>
      <c r="D1241" s="481" t="s">
        <v>120</v>
      </c>
      <c r="E1241" s="481"/>
      <c r="F1241" s="481"/>
      <c r="G1241" s="338">
        <f>G1242+G1250+G1294</f>
        <v>43786.406640000001</v>
      </c>
      <c r="H1241" s="338">
        <f>H1242+H1250+H1294</f>
        <v>43745.48893</v>
      </c>
      <c r="I1241" s="338">
        <f t="shared" si="124"/>
        <v>99.906551568991688</v>
      </c>
    </row>
    <row r="1242" spans="1:10" ht="15.75" x14ac:dyDescent="0.25">
      <c r="A1242" s="116" t="s">
        <v>97</v>
      </c>
      <c r="B1242" s="432">
        <v>908</v>
      </c>
      <c r="C1242" s="481" t="s">
        <v>129</v>
      </c>
      <c r="D1242" s="481" t="s">
        <v>120</v>
      </c>
      <c r="E1242" s="481" t="s">
        <v>329</v>
      </c>
      <c r="F1242" s="481"/>
      <c r="G1242" s="338">
        <f t="shared" ref="G1242:H1245" si="126">G1243</f>
        <v>48.149240000000006</v>
      </c>
      <c r="H1242" s="338">
        <f t="shared" si="126"/>
        <v>48.149239999999999</v>
      </c>
      <c r="I1242" s="338">
        <f t="shared" si="124"/>
        <v>99.999999999999986</v>
      </c>
    </row>
    <row r="1243" spans="1:10" ht="31.5" x14ac:dyDescent="0.25">
      <c r="A1243" s="116" t="s">
        <v>330</v>
      </c>
      <c r="B1243" s="432">
        <v>908</v>
      </c>
      <c r="C1243" s="481" t="s">
        <v>129</v>
      </c>
      <c r="D1243" s="481" t="s">
        <v>120</v>
      </c>
      <c r="E1243" s="481" t="s">
        <v>328</v>
      </c>
      <c r="F1243" s="481"/>
      <c r="G1243" s="338">
        <f>G1244+G1247</f>
        <v>48.149240000000006</v>
      </c>
      <c r="H1243" s="338">
        <f>H1244+H1247</f>
        <v>48.149239999999999</v>
      </c>
      <c r="I1243" s="338">
        <f t="shared" si="124"/>
        <v>99.999999999999986</v>
      </c>
    </row>
    <row r="1244" spans="1:10" ht="29.25" hidden="1" customHeight="1" x14ac:dyDescent="0.25">
      <c r="A1244" s="335" t="s">
        <v>222</v>
      </c>
      <c r="B1244" s="482">
        <v>908</v>
      </c>
      <c r="C1244" s="268" t="s">
        <v>129</v>
      </c>
      <c r="D1244" s="268" t="s">
        <v>120</v>
      </c>
      <c r="E1244" s="268" t="s">
        <v>490</v>
      </c>
      <c r="F1244" s="268"/>
      <c r="G1244" s="337">
        <f t="shared" si="126"/>
        <v>0</v>
      </c>
      <c r="H1244" s="337">
        <f t="shared" si="126"/>
        <v>0</v>
      </c>
      <c r="I1244" s="337" t="e">
        <f t="shared" si="124"/>
        <v>#DIV/0!</v>
      </c>
    </row>
    <row r="1245" spans="1:10" ht="31.5" hidden="1" x14ac:dyDescent="0.25">
      <c r="A1245" s="335" t="s">
        <v>88</v>
      </c>
      <c r="B1245" s="482">
        <v>908</v>
      </c>
      <c r="C1245" s="268" t="s">
        <v>129</v>
      </c>
      <c r="D1245" s="268" t="s">
        <v>120</v>
      </c>
      <c r="E1245" s="268" t="s">
        <v>490</v>
      </c>
      <c r="F1245" s="268" t="s">
        <v>89</v>
      </c>
      <c r="G1245" s="337">
        <f t="shared" si="126"/>
        <v>0</v>
      </c>
      <c r="H1245" s="337">
        <f t="shared" si="126"/>
        <v>0</v>
      </c>
      <c r="I1245" s="337" t="e">
        <f t="shared" si="124"/>
        <v>#DIV/0!</v>
      </c>
    </row>
    <row r="1246" spans="1:10" ht="31.5" hidden="1" x14ac:dyDescent="0.25">
      <c r="A1246" s="335" t="s">
        <v>90</v>
      </c>
      <c r="B1246" s="482">
        <v>908</v>
      </c>
      <c r="C1246" s="268" t="s">
        <v>129</v>
      </c>
      <c r="D1246" s="268" t="s">
        <v>120</v>
      </c>
      <c r="E1246" s="268" t="s">
        <v>490</v>
      </c>
      <c r="F1246" s="268" t="s">
        <v>91</v>
      </c>
      <c r="G1246" s="271">
        <f>390-227-37.4-55.15-10.6-59.85</f>
        <v>0</v>
      </c>
      <c r="H1246" s="271">
        <f>390-227-37.4-55.15-10.6-59.85</f>
        <v>0</v>
      </c>
      <c r="I1246" s="337" t="e">
        <f t="shared" si="124"/>
        <v>#DIV/0!</v>
      </c>
      <c r="J1246" s="341"/>
    </row>
    <row r="1247" spans="1:10" ht="40.5" customHeight="1" x14ac:dyDescent="0.25">
      <c r="A1247" s="335" t="s">
        <v>851</v>
      </c>
      <c r="B1247" s="482" t="s">
        <v>236</v>
      </c>
      <c r="C1247" s="268" t="s">
        <v>129</v>
      </c>
      <c r="D1247" s="268" t="s">
        <v>120</v>
      </c>
      <c r="E1247" s="268" t="s">
        <v>838</v>
      </c>
      <c r="F1247" s="268"/>
      <c r="G1247" s="271">
        <f>G1248</f>
        <v>48.149240000000006</v>
      </c>
      <c r="H1247" s="271">
        <f>H1248</f>
        <v>48.149239999999999</v>
      </c>
      <c r="I1247" s="337">
        <f t="shared" si="124"/>
        <v>99.999999999999986</v>
      </c>
    </row>
    <row r="1248" spans="1:10" ht="41.25" customHeight="1" x14ac:dyDescent="0.25">
      <c r="A1248" s="335" t="s">
        <v>90</v>
      </c>
      <c r="B1248" s="482" t="s">
        <v>236</v>
      </c>
      <c r="C1248" s="268" t="s">
        <v>129</v>
      </c>
      <c r="D1248" s="268" t="s">
        <v>120</v>
      </c>
      <c r="E1248" s="268" t="s">
        <v>838</v>
      </c>
      <c r="F1248" s="268" t="s">
        <v>89</v>
      </c>
      <c r="G1248" s="271">
        <f>G1249</f>
        <v>48.149240000000006</v>
      </c>
      <c r="H1248" s="271">
        <f>H1249</f>
        <v>48.149239999999999</v>
      </c>
      <c r="I1248" s="337">
        <f t="shared" si="124"/>
        <v>99.999999999999986</v>
      </c>
    </row>
    <row r="1249" spans="1:10" ht="35.25" customHeight="1" x14ac:dyDescent="0.25">
      <c r="A1249" s="335" t="s">
        <v>1061</v>
      </c>
      <c r="B1249" s="482" t="s">
        <v>236</v>
      </c>
      <c r="C1249" s="268" t="s">
        <v>129</v>
      </c>
      <c r="D1249" s="268" t="s">
        <v>120</v>
      </c>
      <c r="E1249" s="268" t="s">
        <v>838</v>
      </c>
      <c r="F1249" s="268" t="s">
        <v>91</v>
      </c>
      <c r="G1249" s="271">
        <f>48.2-0.05076</f>
        <v>48.149240000000006</v>
      </c>
      <c r="H1249" s="271">
        <v>48.149239999999999</v>
      </c>
      <c r="I1249" s="337">
        <f t="shared" si="124"/>
        <v>99.999999999999986</v>
      </c>
      <c r="J1249" s="341"/>
    </row>
    <row r="1250" spans="1:10" ht="34.5" customHeight="1" x14ac:dyDescent="0.25">
      <c r="A1250" s="116" t="s">
        <v>892</v>
      </c>
      <c r="B1250" s="432">
        <v>908</v>
      </c>
      <c r="C1250" s="481" t="s">
        <v>129</v>
      </c>
      <c r="D1250" s="481" t="s">
        <v>120</v>
      </c>
      <c r="E1250" s="481" t="s">
        <v>217</v>
      </c>
      <c r="F1250" s="481"/>
      <c r="G1250" s="338">
        <f>G1251+G1278+G1282+G1286+G1290</f>
        <v>14691.381159999999</v>
      </c>
      <c r="H1250" s="338">
        <f>H1251+H1278+H1282+H1286+H1290</f>
        <v>14691.36169</v>
      </c>
      <c r="I1250" s="338">
        <f t="shared" si="124"/>
        <v>99.999867473317948</v>
      </c>
    </row>
    <row r="1251" spans="1:10" ht="35.450000000000003" customHeight="1" x14ac:dyDescent="0.25">
      <c r="A1251" s="116" t="s">
        <v>662</v>
      </c>
      <c r="B1251" s="432">
        <v>908</v>
      </c>
      <c r="C1251" s="481" t="s">
        <v>129</v>
      </c>
      <c r="D1251" s="481" t="s">
        <v>120</v>
      </c>
      <c r="E1251" s="481" t="s">
        <v>608</v>
      </c>
      <c r="F1251" s="481"/>
      <c r="G1251" s="338">
        <f>G1252+G1255+G1261+G1264+G1267+G1272+G1275</f>
        <v>2551.0283899999999</v>
      </c>
      <c r="H1251" s="338">
        <f>H1252+H1255+H1261+H1264+H1267+H1272+H1275</f>
        <v>2551.0251899999998</v>
      </c>
      <c r="I1251" s="338">
        <f t="shared" si="124"/>
        <v>99.99987456039247</v>
      </c>
    </row>
    <row r="1252" spans="1:10" ht="19.5" customHeight="1" x14ac:dyDescent="0.25">
      <c r="A1252" s="335" t="s">
        <v>218</v>
      </c>
      <c r="B1252" s="482">
        <v>908</v>
      </c>
      <c r="C1252" s="268" t="s">
        <v>129</v>
      </c>
      <c r="D1252" s="268" t="s">
        <v>120</v>
      </c>
      <c r="E1252" s="268" t="s">
        <v>656</v>
      </c>
      <c r="F1252" s="268"/>
      <c r="G1252" s="337">
        <f>G1253</f>
        <v>664.75524999999993</v>
      </c>
      <c r="H1252" s="337">
        <f>H1253</f>
        <v>664.75525000000005</v>
      </c>
      <c r="I1252" s="337">
        <f t="shared" si="124"/>
        <v>100.00000000000003</v>
      </c>
    </row>
    <row r="1253" spans="1:10" ht="31.5" x14ac:dyDescent="0.25">
      <c r="A1253" s="335" t="s">
        <v>88</v>
      </c>
      <c r="B1253" s="482">
        <v>908</v>
      </c>
      <c r="C1253" s="268" t="s">
        <v>129</v>
      </c>
      <c r="D1253" s="268" t="s">
        <v>120</v>
      </c>
      <c r="E1253" s="268" t="s">
        <v>656</v>
      </c>
      <c r="F1253" s="268" t="s">
        <v>89</v>
      </c>
      <c r="G1253" s="337">
        <f>G1254</f>
        <v>664.75524999999993</v>
      </c>
      <c r="H1253" s="337">
        <f>H1254</f>
        <v>664.75525000000005</v>
      </c>
      <c r="I1253" s="337">
        <f t="shared" si="124"/>
        <v>100.00000000000003</v>
      </c>
    </row>
    <row r="1254" spans="1:10" ht="31.5" x14ac:dyDescent="0.25">
      <c r="A1254" s="335" t="s">
        <v>90</v>
      </c>
      <c r="B1254" s="482">
        <v>908</v>
      </c>
      <c r="C1254" s="268" t="s">
        <v>129</v>
      </c>
      <c r="D1254" s="268" t="s">
        <v>120</v>
      </c>
      <c r="E1254" s="268" t="s">
        <v>656</v>
      </c>
      <c r="F1254" s="268" t="s">
        <v>91</v>
      </c>
      <c r="G1254" s="337">
        <f>365-84.2-5.09325+377.5285+11.52</f>
        <v>664.75524999999993</v>
      </c>
      <c r="H1254" s="337">
        <v>664.75525000000005</v>
      </c>
      <c r="I1254" s="337">
        <f t="shared" si="124"/>
        <v>100.00000000000003</v>
      </c>
      <c r="J1254" s="341"/>
    </row>
    <row r="1255" spans="1:10" ht="15.75" x14ac:dyDescent="0.25">
      <c r="A1255" s="335" t="s">
        <v>496</v>
      </c>
      <c r="B1255" s="482">
        <v>908</v>
      </c>
      <c r="C1255" s="268" t="s">
        <v>129</v>
      </c>
      <c r="D1255" s="268" t="s">
        <v>120</v>
      </c>
      <c r="E1255" s="268" t="s">
        <v>654</v>
      </c>
      <c r="F1255" s="268"/>
      <c r="G1255" s="337">
        <f>G1256+G1258</f>
        <v>1848.77314</v>
      </c>
      <c r="H1255" s="337">
        <f>H1256+H1258</f>
        <v>1848.7699399999999</v>
      </c>
      <c r="I1255" s="337">
        <f t="shared" si="124"/>
        <v>99.999826912240835</v>
      </c>
    </row>
    <row r="1256" spans="1:10" ht="31.5" x14ac:dyDescent="0.25">
      <c r="A1256" s="335" t="s">
        <v>88</v>
      </c>
      <c r="B1256" s="482">
        <v>908</v>
      </c>
      <c r="C1256" s="268" t="s">
        <v>129</v>
      </c>
      <c r="D1256" s="268" t="s">
        <v>120</v>
      </c>
      <c r="E1256" s="268" t="s">
        <v>654</v>
      </c>
      <c r="F1256" s="268" t="s">
        <v>89</v>
      </c>
      <c r="G1256" s="337">
        <f>G1257</f>
        <v>1848.77314</v>
      </c>
      <c r="H1256" s="337">
        <f>H1257</f>
        <v>1848.7699399999999</v>
      </c>
      <c r="I1256" s="337">
        <f t="shared" si="124"/>
        <v>99.999826912240835</v>
      </c>
    </row>
    <row r="1257" spans="1:10" ht="31.5" x14ac:dyDescent="0.25">
      <c r="A1257" s="335" t="s">
        <v>90</v>
      </c>
      <c r="B1257" s="482">
        <v>908</v>
      </c>
      <c r="C1257" s="268" t="s">
        <v>129</v>
      </c>
      <c r="D1257" s="268" t="s">
        <v>120</v>
      </c>
      <c r="E1257" s="268" t="s">
        <v>654</v>
      </c>
      <c r="F1257" s="268" t="s">
        <v>91</v>
      </c>
      <c r="G1257" s="337">
        <f>1829.54-230.5+102+37.4+10.6+24.5+88.27658-13.04344</f>
        <v>1848.77314</v>
      </c>
      <c r="H1257" s="337">
        <v>1848.7699399999999</v>
      </c>
      <c r="I1257" s="337">
        <f t="shared" si="124"/>
        <v>99.999826912240835</v>
      </c>
      <c r="J1257" s="341"/>
    </row>
    <row r="1258" spans="1:10" ht="15.75" hidden="1" x14ac:dyDescent="0.25">
      <c r="A1258" s="335" t="s">
        <v>92</v>
      </c>
      <c r="B1258" s="482">
        <v>908</v>
      </c>
      <c r="C1258" s="268" t="s">
        <v>129</v>
      </c>
      <c r="D1258" s="268" t="s">
        <v>120</v>
      </c>
      <c r="E1258" s="268" t="s">
        <v>654</v>
      </c>
      <c r="F1258" s="268" t="s">
        <v>98</v>
      </c>
      <c r="G1258" s="337">
        <f>G1260+G1259</f>
        <v>0</v>
      </c>
      <c r="H1258" s="337">
        <f>H1260+H1259</f>
        <v>0</v>
      </c>
      <c r="I1258" s="337" t="e">
        <f t="shared" si="124"/>
        <v>#DIV/0!</v>
      </c>
    </row>
    <row r="1259" spans="1:10" ht="32.25" hidden="1" customHeight="1" x14ac:dyDescent="0.25">
      <c r="A1259" s="335" t="s">
        <v>301</v>
      </c>
      <c r="B1259" s="482">
        <v>908</v>
      </c>
      <c r="C1259" s="268" t="s">
        <v>129</v>
      </c>
      <c r="D1259" s="268" t="s">
        <v>120</v>
      </c>
      <c r="E1259" s="268" t="s">
        <v>654</v>
      </c>
      <c r="F1259" s="268" t="s">
        <v>100</v>
      </c>
      <c r="G1259" s="337">
        <v>0</v>
      </c>
      <c r="H1259" s="337">
        <v>0</v>
      </c>
      <c r="I1259" s="337" t="e">
        <f t="shared" si="124"/>
        <v>#DIV/0!</v>
      </c>
    </row>
    <row r="1260" spans="1:10" ht="15.75" hidden="1" x14ac:dyDescent="0.25">
      <c r="A1260" s="335" t="s">
        <v>258</v>
      </c>
      <c r="B1260" s="482">
        <v>908</v>
      </c>
      <c r="C1260" s="268" t="s">
        <v>129</v>
      </c>
      <c r="D1260" s="268" t="s">
        <v>120</v>
      </c>
      <c r="E1260" s="268" t="s">
        <v>654</v>
      </c>
      <c r="F1260" s="268" t="s">
        <v>94</v>
      </c>
      <c r="G1260" s="337">
        <f>3.4+37.5-40.9</f>
        <v>0</v>
      </c>
      <c r="H1260" s="337">
        <f>3.4+37.5-40.9</f>
        <v>0</v>
      </c>
      <c r="I1260" s="337" t="e">
        <f t="shared" si="124"/>
        <v>#DIV/0!</v>
      </c>
    </row>
    <row r="1261" spans="1:10" ht="15.75" hidden="1" x14ac:dyDescent="0.25">
      <c r="A1261" s="335" t="s">
        <v>219</v>
      </c>
      <c r="B1261" s="482">
        <v>908</v>
      </c>
      <c r="C1261" s="268" t="s">
        <v>129</v>
      </c>
      <c r="D1261" s="268" t="s">
        <v>120</v>
      </c>
      <c r="E1261" s="268" t="s">
        <v>620</v>
      </c>
      <c r="F1261" s="268"/>
      <c r="G1261" s="337">
        <f>G1262</f>
        <v>0</v>
      </c>
      <c r="H1261" s="337">
        <f>H1262</f>
        <v>0</v>
      </c>
      <c r="I1261" s="337" t="e">
        <f t="shared" si="124"/>
        <v>#DIV/0!</v>
      </c>
    </row>
    <row r="1262" spans="1:10" ht="31.5" hidden="1" x14ac:dyDescent="0.25">
      <c r="A1262" s="335" t="s">
        <v>88</v>
      </c>
      <c r="B1262" s="482">
        <v>908</v>
      </c>
      <c r="C1262" s="268" t="s">
        <v>129</v>
      </c>
      <c r="D1262" s="268" t="s">
        <v>120</v>
      </c>
      <c r="E1262" s="268" t="s">
        <v>620</v>
      </c>
      <c r="F1262" s="268" t="s">
        <v>89</v>
      </c>
      <c r="G1262" s="337">
        <f>G1263</f>
        <v>0</v>
      </c>
      <c r="H1262" s="337">
        <f>H1263</f>
        <v>0</v>
      </c>
      <c r="I1262" s="337" t="e">
        <f t="shared" si="124"/>
        <v>#DIV/0!</v>
      </c>
    </row>
    <row r="1263" spans="1:10" ht="31.5" hidden="1" x14ac:dyDescent="0.25">
      <c r="A1263" s="335" t="s">
        <v>90</v>
      </c>
      <c r="B1263" s="482">
        <v>908</v>
      </c>
      <c r="C1263" s="268" t="s">
        <v>129</v>
      </c>
      <c r="D1263" s="268" t="s">
        <v>120</v>
      </c>
      <c r="E1263" s="268" t="s">
        <v>620</v>
      </c>
      <c r="F1263" s="268" t="s">
        <v>91</v>
      </c>
      <c r="G1263" s="337">
        <v>0</v>
      </c>
      <c r="H1263" s="337">
        <v>0</v>
      </c>
      <c r="I1263" s="337" t="e">
        <f t="shared" si="124"/>
        <v>#DIV/0!</v>
      </c>
    </row>
    <row r="1264" spans="1:10" ht="15.75" hidden="1" x14ac:dyDescent="0.25">
      <c r="A1264" s="335" t="s">
        <v>220</v>
      </c>
      <c r="B1264" s="482">
        <v>908</v>
      </c>
      <c r="C1264" s="268" t="s">
        <v>129</v>
      </c>
      <c r="D1264" s="268" t="s">
        <v>120</v>
      </c>
      <c r="E1264" s="268" t="s">
        <v>609</v>
      </c>
      <c r="F1264" s="268"/>
      <c r="G1264" s="337">
        <f>G1265</f>
        <v>0</v>
      </c>
      <c r="H1264" s="337">
        <f>H1265</f>
        <v>0</v>
      </c>
      <c r="I1264" s="337" t="e">
        <f t="shared" si="124"/>
        <v>#DIV/0!</v>
      </c>
    </row>
    <row r="1265" spans="1:9" ht="31.5" hidden="1" x14ac:dyDescent="0.25">
      <c r="A1265" s="335" t="s">
        <v>88</v>
      </c>
      <c r="B1265" s="482">
        <v>908</v>
      </c>
      <c r="C1265" s="268" t="s">
        <v>129</v>
      </c>
      <c r="D1265" s="268" t="s">
        <v>120</v>
      </c>
      <c r="E1265" s="268" t="s">
        <v>609</v>
      </c>
      <c r="F1265" s="268" t="s">
        <v>89</v>
      </c>
      <c r="G1265" s="337">
        <f>G1266</f>
        <v>0</v>
      </c>
      <c r="H1265" s="337">
        <f>H1266</f>
        <v>0</v>
      </c>
      <c r="I1265" s="337" t="e">
        <f t="shared" si="124"/>
        <v>#DIV/0!</v>
      </c>
    </row>
    <row r="1266" spans="1:9" ht="36" hidden="1" customHeight="1" x14ac:dyDescent="0.25">
      <c r="A1266" s="335" t="s">
        <v>90</v>
      </c>
      <c r="B1266" s="482">
        <v>908</v>
      </c>
      <c r="C1266" s="268" t="s">
        <v>129</v>
      </c>
      <c r="D1266" s="268" t="s">
        <v>120</v>
      </c>
      <c r="E1266" s="268" t="s">
        <v>609</v>
      </c>
      <c r="F1266" s="268" t="s">
        <v>91</v>
      </c>
      <c r="G1266" s="337">
        <f>50-42-3.05-4.95</f>
        <v>0</v>
      </c>
      <c r="H1266" s="337">
        <f>50-42-3.05-4.95</f>
        <v>0</v>
      </c>
      <c r="I1266" s="337" t="e">
        <f t="shared" si="124"/>
        <v>#DIV/0!</v>
      </c>
    </row>
    <row r="1267" spans="1:9" ht="30.75" hidden="1" customHeight="1" x14ac:dyDescent="0.25">
      <c r="A1267" s="279" t="s">
        <v>657</v>
      </c>
      <c r="B1267" s="482">
        <v>908</v>
      </c>
      <c r="C1267" s="268" t="s">
        <v>129</v>
      </c>
      <c r="D1267" s="268" t="s">
        <v>120</v>
      </c>
      <c r="E1267" s="268" t="s">
        <v>610</v>
      </c>
      <c r="F1267" s="268"/>
      <c r="G1267" s="337">
        <f>G1268+G1270</f>
        <v>37.5</v>
      </c>
      <c r="H1267" s="337">
        <f>H1268+H1270</f>
        <v>37.5</v>
      </c>
      <c r="I1267" s="337">
        <f t="shared" si="124"/>
        <v>100</v>
      </c>
    </row>
    <row r="1268" spans="1:9" ht="31.5" hidden="1" x14ac:dyDescent="0.25">
      <c r="A1268" s="335" t="s">
        <v>88</v>
      </c>
      <c r="B1268" s="482">
        <v>908</v>
      </c>
      <c r="C1268" s="268" t="s">
        <v>129</v>
      </c>
      <c r="D1268" s="268" t="s">
        <v>120</v>
      </c>
      <c r="E1268" s="268" t="s">
        <v>610</v>
      </c>
      <c r="F1268" s="268" t="s">
        <v>89</v>
      </c>
      <c r="G1268" s="337">
        <f>G1269</f>
        <v>0</v>
      </c>
      <c r="H1268" s="337">
        <f>H1269</f>
        <v>0</v>
      </c>
      <c r="I1268" s="337" t="e">
        <f t="shared" si="124"/>
        <v>#DIV/0!</v>
      </c>
    </row>
    <row r="1269" spans="1:9" ht="31.5" hidden="1" x14ac:dyDescent="0.25">
      <c r="A1269" s="335" t="s">
        <v>90</v>
      </c>
      <c r="B1269" s="482">
        <v>908</v>
      </c>
      <c r="C1269" s="268" t="s">
        <v>129</v>
      </c>
      <c r="D1269" s="268" t="s">
        <v>120</v>
      </c>
      <c r="E1269" s="268" t="s">
        <v>610</v>
      </c>
      <c r="F1269" s="268" t="s">
        <v>91</v>
      </c>
      <c r="G1269" s="337">
        <f>375-70-300-5</f>
        <v>0</v>
      </c>
      <c r="H1269" s="337">
        <f>375-70-300-5</f>
        <v>0</v>
      </c>
      <c r="I1269" s="337" t="e">
        <f t="shared" si="124"/>
        <v>#DIV/0!</v>
      </c>
    </row>
    <row r="1270" spans="1:9" ht="15.75" x14ac:dyDescent="0.25">
      <c r="A1270" s="335" t="s">
        <v>92</v>
      </c>
      <c r="B1270" s="482">
        <v>908</v>
      </c>
      <c r="C1270" s="268" t="s">
        <v>129</v>
      </c>
      <c r="D1270" s="268" t="s">
        <v>120</v>
      </c>
      <c r="E1270" s="268" t="s">
        <v>610</v>
      </c>
      <c r="F1270" s="268" t="s">
        <v>98</v>
      </c>
      <c r="G1270" s="337">
        <f>G1271</f>
        <v>37.5</v>
      </c>
      <c r="H1270" s="337">
        <f>H1271</f>
        <v>37.5</v>
      </c>
      <c r="I1270" s="337">
        <f t="shared" si="124"/>
        <v>100</v>
      </c>
    </row>
    <row r="1271" spans="1:9" ht="15.75" x14ac:dyDescent="0.25">
      <c r="A1271" s="335" t="s">
        <v>258</v>
      </c>
      <c r="B1271" s="482">
        <v>908</v>
      </c>
      <c r="C1271" s="268" t="s">
        <v>129</v>
      </c>
      <c r="D1271" s="268" t="s">
        <v>120</v>
      </c>
      <c r="E1271" s="268" t="s">
        <v>610</v>
      </c>
      <c r="F1271" s="268" t="s">
        <v>94</v>
      </c>
      <c r="G1271" s="337">
        <f>75-75+37.5</f>
        <v>37.5</v>
      </c>
      <c r="H1271" s="337">
        <v>37.5</v>
      </c>
      <c r="I1271" s="337">
        <f t="shared" si="124"/>
        <v>100</v>
      </c>
    </row>
    <row r="1272" spans="1:9" ht="15.75" hidden="1" x14ac:dyDescent="0.25">
      <c r="A1272" s="26" t="s">
        <v>221</v>
      </c>
      <c r="B1272" s="482">
        <v>908</v>
      </c>
      <c r="C1272" s="268" t="s">
        <v>129</v>
      </c>
      <c r="D1272" s="268" t="s">
        <v>120</v>
      </c>
      <c r="E1272" s="268" t="s">
        <v>611</v>
      </c>
      <c r="F1272" s="268"/>
      <c r="G1272" s="337">
        <f>G1273</f>
        <v>0</v>
      </c>
      <c r="H1272" s="337">
        <f>H1273</f>
        <v>0</v>
      </c>
      <c r="I1272" s="337" t="e">
        <f t="shared" si="124"/>
        <v>#DIV/0!</v>
      </c>
    </row>
    <row r="1273" spans="1:9" ht="31.5" hidden="1" x14ac:dyDescent="0.25">
      <c r="A1273" s="335" t="s">
        <v>88</v>
      </c>
      <c r="B1273" s="482">
        <v>908</v>
      </c>
      <c r="C1273" s="268" t="s">
        <v>129</v>
      </c>
      <c r="D1273" s="268" t="s">
        <v>120</v>
      </c>
      <c r="E1273" s="268" t="s">
        <v>611</v>
      </c>
      <c r="F1273" s="268" t="s">
        <v>89</v>
      </c>
      <c r="G1273" s="337">
        <f>G1274</f>
        <v>0</v>
      </c>
      <c r="H1273" s="337">
        <f>H1274</f>
        <v>0</v>
      </c>
      <c r="I1273" s="337" t="e">
        <f t="shared" si="124"/>
        <v>#DIV/0!</v>
      </c>
    </row>
    <row r="1274" spans="1:9" ht="31.5" hidden="1" x14ac:dyDescent="0.25">
      <c r="A1274" s="335" t="s">
        <v>90</v>
      </c>
      <c r="B1274" s="482">
        <v>908</v>
      </c>
      <c r="C1274" s="268" t="s">
        <v>129</v>
      </c>
      <c r="D1274" s="268" t="s">
        <v>120</v>
      </c>
      <c r="E1274" s="268" t="s">
        <v>611</v>
      </c>
      <c r="F1274" s="268" t="s">
        <v>91</v>
      </c>
      <c r="G1274" s="337">
        <v>0</v>
      </c>
      <c r="H1274" s="337">
        <v>0</v>
      </c>
      <c r="I1274" s="337" t="e">
        <f t="shared" si="124"/>
        <v>#DIV/0!</v>
      </c>
    </row>
    <row r="1275" spans="1:9" ht="31.5" hidden="1" x14ac:dyDescent="0.25">
      <c r="A1275" s="147" t="s">
        <v>498</v>
      </c>
      <c r="B1275" s="482">
        <v>908</v>
      </c>
      <c r="C1275" s="268" t="s">
        <v>129</v>
      </c>
      <c r="D1275" s="268" t="s">
        <v>120</v>
      </c>
      <c r="E1275" s="268" t="s">
        <v>612</v>
      </c>
      <c r="F1275" s="268"/>
      <c r="G1275" s="337">
        <f>G1276</f>
        <v>0</v>
      </c>
      <c r="H1275" s="337">
        <f>H1276</f>
        <v>0</v>
      </c>
      <c r="I1275" s="337" t="e">
        <f t="shared" si="124"/>
        <v>#DIV/0!</v>
      </c>
    </row>
    <row r="1276" spans="1:9" ht="31.5" hidden="1" x14ac:dyDescent="0.25">
      <c r="A1276" s="335" t="s">
        <v>88</v>
      </c>
      <c r="B1276" s="482">
        <v>908</v>
      </c>
      <c r="C1276" s="268" t="s">
        <v>129</v>
      </c>
      <c r="D1276" s="268" t="s">
        <v>120</v>
      </c>
      <c r="E1276" s="268" t="s">
        <v>612</v>
      </c>
      <c r="F1276" s="268" t="s">
        <v>89</v>
      </c>
      <c r="G1276" s="337">
        <f>G1277</f>
        <v>0</v>
      </c>
      <c r="H1276" s="337">
        <f>H1277</f>
        <v>0</v>
      </c>
      <c r="I1276" s="337" t="e">
        <f t="shared" si="124"/>
        <v>#DIV/0!</v>
      </c>
    </row>
    <row r="1277" spans="1:9" ht="31.5" hidden="1" x14ac:dyDescent="0.25">
      <c r="A1277" s="335" t="s">
        <v>90</v>
      </c>
      <c r="B1277" s="482">
        <v>908</v>
      </c>
      <c r="C1277" s="268" t="s">
        <v>129</v>
      </c>
      <c r="D1277" s="268" t="s">
        <v>120</v>
      </c>
      <c r="E1277" s="268" t="s">
        <v>612</v>
      </c>
      <c r="F1277" s="268" t="s">
        <v>91</v>
      </c>
      <c r="G1277" s="337">
        <f>50-45-5</f>
        <v>0</v>
      </c>
      <c r="H1277" s="337">
        <f>50-45-5</f>
        <v>0</v>
      </c>
      <c r="I1277" s="337" t="e">
        <f t="shared" si="124"/>
        <v>#DIV/0!</v>
      </c>
    </row>
    <row r="1278" spans="1:9" ht="31.5" x14ac:dyDescent="0.25">
      <c r="A1278" s="116" t="s">
        <v>342</v>
      </c>
      <c r="B1278" s="432">
        <v>908</v>
      </c>
      <c r="C1278" s="481" t="s">
        <v>129</v>
      </c>
      <c r="D1278" s="481" t="s">
        <v>120</v>
      </c>
      <c r="E1278" s="481" t="s">
        <v>619</v>
      </c>
      <c r="F1278" s="481"/>
      <c r="G1278" s="338">
        <f t="shared" ref="G1278:H1280" si="127">G1279</f>
        <v>1787</v>
      </c>
      <c r="H1278" s="338">
        <f t="shared" si="127"/>
        <v>1787</v>
      </c>
      <c r="I1278" s="338">
        <f t="shared" si="124"/>
        <v>100</v>
      </c>
    </row>
    <row r="1279" spans="1:9" ht="47.25" x14ac:dyDescent="0.25">
      <c r="A1279" s="335" t="s">
        <v>489</v>
      </c>
      <c r="B1279" s="482">
        <v>908</v>
      </c>
      <c r="C1279" s="268" t="s">
        <v>129</v>
      </c>
      <c r="D1279" s="268" t="s">
        <v>120</v>
      </c>
      <c r="E1279" s="268" t="s">
        <v>618</v>
      </c>
      <c r="F1279" s="268"/>
      <c r="G1279" s="337">
        <f t="shared" si="127"/>
        <v>1787</v>
      </c>
      <c r="H1279" s="337">
        <f t="shared" si="127"/>
        <v>1787</v>
      </c>
      <c r="I1279" s="337">
        <f t="shared" si="124"/>
        <v>100</v>
      </c>
    </row>
    <row r="1280" spans="1:9" ht="31.5" x14ac:dyDescent="0.25">
      <c r="A1280" s="335" t="s">
        <v>88</v>
      </c>
      <c r="B1280" s="482">
        <v>908</v>
      </c>
      <c r="C1280" s="268" t="s">
        <v>129</v>
      </c>
      <c r="D1280" s="268" t="s">
        <v>120</v>
      </c>
      <c r="E1280" s="268" t="s">
        <v>618</v>
      </c>
      <c r="F1280" s="268" t="s">
        <v>89</v>
      </c>
      <c r="G1280" s="337">
        <f t="shared" si="127"/>
        <v>1787</v>
      </c>
      <c r="H1280" s="337">
        <f t="shared" si="127"/>
        <v>1787</v>
      </c>
      <c r="I1280" s="337">
        <f t="shared" si="124"/>
        <v>100</v>
      </c>
    </row>
    <row r="1281" spans="1:10" ht="31.5" x14ac:dyDescent="0.25">
      <c r="A1281" s="335" t="s">
        <v>90</v>
      </c>
      <c r="B1281" s="482">
        <v>908</v>
      </c>
      <c r="C1281" s="268" t="s">
        <v>129</v>
      </c>
      <c r="D1281" s="268" t="s">
        <v>120</v>
      </c>
      <c r="E1281" s="268" t="s">
        <v>618</v>
      </c>
      <c r="F1281" s="268" t="s">
        <v>91</v>
      </c>
      <c r="G1281" s="337">
        <v>1787</v>
      </c>
      <c r="H1281" s="337">
        <v>1787</v>
      </c>
      <c r="I1281" s="337">
        <f t="shared" si="124"/>
        <v>100</v>
      </c>
    </row>
    <row r="1282" spans="1:10" ht="31.5" hidden="1" x14ac:dyDescent="0.25">
      <c r="A1282" s="22" t="s">
        <v>722</v>
      </c>
      <c r="B1282" s="432">
        <v>908</v>
      </c>
      <c r="C1282" s="481" t="s">
        <v>129</v>
      </c>
      <c r="D1282" s="481" t="s">
        <v>120</v>
      </c>
      <c r="E1282" s="481" t="s">
        <v>721</v>
      </c>
      <c r="F1282" s="481"/>
      <c r="G1282" s="338">
        <f t="shared" ref="G1282:H1284" si="128">G1283</f>
        <v>0</v>
      </c>
      <c r="H1282" s="338">
        <f t="shared" si="128"/>
        <v>0</v>
      </c>
      <c r="I1282" s="337" t="e">
        <f t="shared" si="124"/>
        <v>#DIV/0!</v>
      </c>
      <c r="J1282" s="285"/>
    </row>
    <row r="1283" spans="1:10" ht="15.75" hidden="1" x14ac:dyDescent="0.25">
      <c r="A1283" s="20" t="s">
        <v>756</v>
      </c>
      <c r="B1283" s="482">
        <v>908</v>
      </c>
      <c r="C1283" s="268" t="s">
        <v>129</v>
      </c>
      <c r="D1283" s="268" t="s">
        <v>120</v>
      </c>
      <c r="E1283" s="268" t="s">
        <v>725</v>
      </c>
      <c r="F1283" s="268"/>
      <c r="G1283" s="337">
        <f t="shared" si="128"/>
        <v>0</v>
      </c>
      <c r="H1283" s="337">
        <f t="shared" si="128"/>
        <v>0</v>
      </c>
      <c r="I1283" s="337" t="e">
        <f t="shared" si="124"/>
        <v>#DIV/0!</v>
      </c>
      <c r="J1283" s="285"/>
    </row>
    <row r="1284" spans="1:10" ht="31.5" hidden="1" x14ac:dyDescent="0.25">
      <c r="A1284" s="335" t="s">
        <v>88</v>
      </c>
      <c r="B1284" s="482">
        <v>908</v>
      </c>
      <c r="C1284" s="268" t="s">
        <v>129</v>
      </c>
      <c r="D1284" s="268" t="s">
        <v>120</v>
      </c>
      <c r="E1284" s="268" t="s">
        <v>725</v>
      </c>
      <c r="F1284" s="268" t="s">
        <v>89</v>
      </c>
      <c r="G1284" s="337">
        <f t="shared" si="128"/>
        <v>0</v>
      </c>
      <c r="H1284" s="337">
        <f t="shared" si="128"/>
        <v>0</v>
      </c>
      <c r="I1284" s="337" t="e">
        <f t="shared" si="124"/>
        <v>#DIV/0!</v>
      </c>
      <c r="J1284" s="285"/>
    </row>
    <row r="1285" spans="1:10" ht="31.5" hidden="1" x14ac:dyDescent="0.25">
      <c r="A1285" s="335" t="s">
        <v>90</v>
      </c>
      <c r="B1285" s="482">
        <v>908</v>
      </c>
      <c r="C1285" s="268" t="s">
        <v>129</v>
      </c>
      <c r="D1285" s="268" t="s">
        <v>120</v>
      </c>
      <c r="E1285" s="268" t="s">
        <v>725</v>
      </c>
      <c r="F1285" s="268" t="s">
        <v>91</v>
      </c>
      <c r="G1285" s="337"/>
      <c r="H1285" s="337"/>
      <c r="I1285" s="337" t="e">
        <f t="shared" si="124"/>
        <v>#DIV/0!</v>
      </c>
      <c r="J1285" s="285"/>
    </row>
    <row r="1286" spans="1:10" ht="31.5" x14ac:dyDescent="0.25">
      <c r="A1286" s="116" t="s">
        <v>795</v>
      </c>
      <c r="B1286" s="432">
        <v>908</v>
      </c>
      <c r="C1286" s="481" t="s">
        <v>129</v>
      </c>
      <c r="D1286" s="481" t="s">
        <v>120</v>
      </c>
      <c r="E1286" s="481" t="s">
        <v>797</v>
      </c>
      <c r="F1286" s="481"/>
      <c r="G1286" s="338">
        <f t="shared" ref="G1286:H1288" si="129">G1287</f>
        <v>7500</v>
      </c>
      <c r="H1286" s="338">
        <f t="shared" si="129"/>
        <v>7500</v>
      </c>
      <c r="I1286" s="338">
        <f t="shared" si="124"/>
        <v>100</v>
      </c>
      <c r="J1286" s="285"/>
    </row>
    <row r="1287" spans="1:10" ht="60.75" customHeight="1" x14ac:dyDescent="0.25">
      <c r="A1287" s="335" t="s">
        <v>796</v>
      </c>
      <c r="B1287" s="482">
        <v>908</v>
      </c>
      <c r="C1287" s="268" t="s">
        <v>129</v>
      </c>
      <c r="D1287" s="268" t="s">
        <v>120</v>
      </c>
      <c r="E1287" s="268" t="s">
        <v>806</v>
      </c>
      <c r="F1287" s="268"/>
      <c r="G1287" s="337">
        <f t="shared" si="129"/>
        <v>7500</v>
      </c>
      <c r="H1287" s="337">
        <f t="shared" si="129"/>
        <v>7500</v>
      </c>
      <c r="I1287" s="337">
        <f t="shared" si="124"/>
        <v>100</v>
      </c>
      <c r="J1287" s="285"/>
    </row>
    <row r="1288" spans="1:10" ht="31.5" x14ac:dyDescent="0.25">
      <c r="A1288" s="335" t="s">
        <v>88</v>
      </c>
      <c r="B1288" s="482">
        <v>908</v>
      </c>
      <c r="C1288" s="268" t="s">
        <v>129</v>
      </c>
      <c r="D1288" s="268" t="s">
        <v>120</v>
      </c>
      <c r="E1288" s="268" t="s">
        <v>806</v>
      </c>
      <c r="F1288" s="268" t="s">
        <v>89</v>
      </c>
      <c r="G1288" s="337">
        <f t="shared" si="129"/>
        <v>7500</v>
      </c>
      <c r="H1288" s="337">
        <f t="shared" si="129"/>
        <v>7500</v>
      </c>
      <c r="I1288" s="337">
        <f t="shared" si="124"/>
        <v>100</v>
      </c>
      <c r="J1288" s="285"/>
    </row>
    <row r="1289" spans="1:10" ht="31.5" x14ac:dyDescent="0.25">
      <c r="A1289" s="335" t="s">
        <v>90</v>
      </c>
      <c r="B1289" s="482">
        <v>908</v>
      </c>
      <c r="C1289" s="268" t="s">
        <v>129</v>
      </c>
      <c r="D1289" s="268" t="s">
        <v>120</v>
      </c>
      <c r="E1289" s="268" t="s">
        <v>806</v>
      </c>
      <c r="F1289" s="268" t="s">
        <v>91</v>
      </c>
      <c r="G1289" s="337">
        <f>7500</f>
        <v>7500</v>
      </c>
      <c r="H1289" s="337">
        <v>7500</v>
      </c>
      <c r="I1289" s="337">
        <f t="shared" si="124"/>
        <v>100</v>
      </c>
      <c r="J1289" s="285"/>
    </row>
    <row r="1290" spans="1:10" ht="31.5" x14ac:dyDescent="0.25">
      <c r="A1290" s="116" t="s">
        <v>810</v>
      </c>
      <c r="B1290" s="432">
        <v>908</v>
      </c>
      <c r="C1290" s="481" t="s">
        <v>129</v>
      </c>
      <c r="D1290" s="481" t="s">
        <v>120</v>
      </c>
      <c r="E1290" s="481" t="s">
        <v>807</v>
      </c>
      <c r="F1290" s="481"/>
      <c r="G1290" s="338">
        <f t="shared" ref="G1290:H1292" si="130">G1291</f>
        <v>2853.35277</v>
      </c>
      <c r="H1290" s="338">
        <f t="shared" si="130"/>
        <v>2853.3364999999999</v>
      </c>
      <c r="I1290" s="338">
        <f t="shared" si="124"/>
        <v>99.999429793603824</v>
      </c>
      <c r="J1290" s="285"/>
    </row>
    <row r="1291" spans="1:10" ht="15.75" x14ac:dyDescent="0.25">
      <c r="A1291" s="335" t="s">
        <v>808</v>
      </c>
      <c r="B1291" s="482">
        <v>908</v>
      </c>
      <c r="C1291" s="268" t="s">
        <v>129</v>
      </c>
      <c r="D1291" s="268" t="s">
        <v>120</v>
      </c>
      <c r="E1291" s="268" t="s">
        <v>809</v>
      </c>
      <c r="F1291" s="268"/>
      <c r="G1291" s="337">
        <f t="shared" si="130"/>
        <v>2853.35277</v>
      </c>
      <c r="H1291" s="337">
        <f t="shared" si="130"/>
        <v>2853.3364999999999</v>
      </c>
      <c r="I1291" s="337">
        <f t="shared" si="124"/>
        <v>99.999429793603824</v>
      </c>
      <c r="J1291" s="285"/>
    </row>
    <row r="1292" spans="1:10" ht="31.5" x14ac:dyDescent="0.25">
      <c r="A1292" s="335" t="s">
        <v>88</v>
      </c>
      <c r="B1292" s="482">
        <v>908</v>
      </c>
      <c r="C1292" s="268" t="s">
        <v>129</v>
      </c>
      <c r="D1292" s="268" t="s">
        <v>120</v>
      </c>
      <c r="E1292" s="268" t="s">
        <v>809</v>
      </c>
      <c r="F1292" s="268" t="s">
        <v>89</v>
      </c>
      <c r="G1292" s="337">
        <f t="shared" si="130"/>
        <v>2853.35277</v>
      </c>
      <c r="H1292" s="337">
        <f t="shared" si="130"/>
        <v>2853.3364999999999</v>
      </c>
      <c r="I1292" s="337">
        <f t="shared" ref="I1292:I1355" si="131">H1292/G1292*100</f>
        <v>99.999429793603824</v>
      </c>
      <c r="J1292" s="285"/>
    </row>
    <row r="1293" spans="1:10" ht="31.5" x14ac:dyDescent="0.25">
      <c r="A1293" s="335" t="s">
        <v>90</v>
      </c>
      <c r="B1293" s="482">
        <v>908</v>
      </c>
      <c r="C1293" s="268" t="s">
        <v>129</v>
      </c>
      <c r="D1293" s="268" t="s">
        <v>120</v>
      </c>
      <c r="E1293" s="268" t="s">
        <v>809</v>
      </c>
      <c r="F1293" s="268" t="s">
        <v>91</v>
      </c>
      <c r="G1293" s="337">
        <f>2080.7+42.46326+900.82768+9.10039-125.81632-15-38.92224</f>
        <v>2853.35277</v>
      </c>
      <c r="H1293" s="337">
        <v>2853.3364999999999</v>
      </c>
      <c r="I1293" s="337">
        <f t="shared" si="131"/>
        <v>99.999429793603824</v>
      </c>
      <c r="J1293" s="285"/>
    </row>
    <row r="1294" spans="1:10" ht="61.15" customHeight="1" x14ac:dyDescent="0.25">
      <c r="A1294" s="116" t="s">
        <v>903</v>
      </c>
      <c r="B1294" s="432">
        <v>908</v>
      </c>
      <c r="C1294" s="481" t="s">
        <v>129</v>
      </c>
      <c r="D1294" s="481" t="s">
        <v>120</v>
      </c>
      <c r="E1294" s="481" t="s">
        <v>260</v>
      </c>
      <c r="F1294" s="481"/>
      <c r="G1294" s="338">
        <f>G1295+G1299</f>
        <v>29046.876240000005</v>
      </c>
      <c r="H1294" s="338">
        <f>H1295+H1299</f>
        <v>29005.977999999999</v>
      </c>
      <c r="I1294" s="338">
        <f t="shared" si="131"/>
        <v>99.85919917976004</v>
      </c>
      <c r="J1294" s="290"/>
    </row>
    <row r="1295" spans="1:10" ht="34.5" customHeight="1" x14ac:dyDescent="0.25">
      <c r="A1295" s="116" t="s">
        <v>485</v>
      </c>
      <c r="B1295" s="432">
        <v>908</v>
      </c>
      <c r="C1295" s="481" t="s">
        <v>129</v>
      </c>
      <c r="D1295" s="481" t="s">
        <v>120</v>
      </c>
      <c r="E1295" s="481" t="s">
        <v>497</v>
      </c>
      <c r="F1295" s="481"/>
      <c r="G1295" s="338">
        <f t="shared" ref="G1295:H1297" si="132">G1296</f>
        <v>27595.694000000007</v>
      </c>
      <c r="H1295" s="338">
        <f t="shared" si="132"/>
        <v>27595.694</v>
      </c>
      <c r="I1295" s="337">
        <f t="shared" si="131"/>
        <v>99.999999999999972</v>
      </c>
    </row>
    <row r="1296" spans="1:10" ht="31.5" x14ac:dyDescent="0.25">
      <c r="A1296" s="19" t="s">
        <v>1014</v>
      </c>
      <c r="B1296" s="482">
        <v>908</v>
      </c>
      <c r="C1296" s="268" t="s">
        <v>129</v>
      </c>
      <c r="D1296" s="268" t="s">
        <v>120</v>
      </c>
      <c r="E1296" s="268" t="s">
        <v>300</v>
      </c>
      <c r="F1296" s="268"/>
      <c r="G1296" s="337">
        <f t="shared" si="132"/>
        <v>27595.694000000007</v>
      </c>
      <c r="H1296" s="337">
        <f t="shared" si="132"/>
        <v>27595.694</v>
      </c>
      <c r="I1296" s="337">
        <f t="shared" si="131"/>
        <v>99.999999999999972</v>
      </c>
    </row>
    <row r="1297" spans="1:10" ht="31.5" x14ac:dyDescent="0.25">
      <c r="A1297" s="335" t="s">
        <v>88</v>
      </c>
      <c r="B1297" s="482">
        <v>908</v>
      </c>
      <c r="C1297" s="268" t="s">
        <v>129</v>
      </c>
      <c r="D1297" s="268" t="s">
        <v>120</v>
      </c>
      <c r="E1297" s="268" t="s">
        <v>300</v>
      </c>
      <c r="F1297" s="268" t="s">
        <v>89</v>
      </c>
      <c r="G1297" s="337">
        <f t="shared" si="132"/>
        <v>27595.694000000007</v>
      </c>
      <c r="H1297" s="337">
        <f t="shared" si="132"/>
        <v>27595.694</v>
      </c>
      <c r="I1297" s="337">
        <f t="shared" si="131"/>
        <v>99.999999999999972</v>
      </c>
    </row>
    <row r="1298" spans="1:10" ht="31.5" x14ac:dyDescent="0.25">
      <c r="A1298" s="335" t="s">
        <v>90</v>
      </c>
      <c r="B1298" s="482">
        <v>908</v>
      </c>
      <c r="C1298" s="268" t="s">
        <v>129</v>
      </c>
      <c r="D1298" s="268" t="s">
        <v>120</v>
      </c>
      <c r="E1298" s="268" t="s">
        <v>300</v>
      </c>
      <c r="F1298" s="268" t="s">
        <v>91</v>
      </c>
      <c r="G1298" s="337">
        <f>25273.8853+8794.8731-8794.8731+2321.8087</f>
        <v>27595.694000000007</v>
      </c>
      <c r="H1298" s="337">
        <v>27595.694</v>
      </c>
      <c r="I1298" s="337">
        <f t="shared" si="131"/>
        <v>99.999999999999972</v>
      </c>
    </row>
    <row r="1299" spans="1:10" ht="53.25" customHeight="1" x14ac:dyDescent="0.25">
      <c r="A1299" s="116" t="s">
        <v>1047</v>
      </c>
      <c r="B1299" s="432">
        <v>908</v>
      </c>
      <c r="C1299" s="481" t="s">
        <v>129</v>
      </c>
      <c r="D1299" s="481" t="s">
        <v>120</v>
      </c>
      <c r="E1299" s="481" t="s">
        <v>723</v>
      </c>
      <c r="F1299" s="481"/>
      <c r="G1299" s="338">
        <f>G1300+G1303</f>
        <v>1451.1822400000001</v>
      </c>
      <c r="H1299" s="338">
        <f>H1300+H1303</f>
        <v>1410.2840000000001</v>
      </c>
      <c r="I1299" s="338">
        <f t="shared" si="131"/>
        <v>97.181729566921931</v>
      </c>
    </row>
    <row r="1300" spans="1:10" ht="96.75" hidden="1" customHeight="1" x14ac:dyDescent="0.25">
      <c r="A1300" s="335" t="s">
        <v>730</v>
      </c>
      <c r="B1300" s="482">
        <v>908</v>
      </c>
      <c r="C1300" s="268" t="s">
        <v>129</v>
      </c>
      <c r="D1300" s="268" t="s">
        <v>120</v>
      </c>
      <c r="E1300" s="268" t="s">
        <v>724</v>
      </c>
      <c r="F1300" s="268"/>
      <c r="G1300" s="337">
        <f t="shared" ref="G1300:H1301" si="133">G1301</f>
        <v>5.7071318157464468E-15</v>
      </c>
      <c r="H1300" s="337">
        <f t="shared" si="133"/>
        <v>5.7071318157464468E-15</v>
      </c>
      <c r="I1300" s="337">
        <f t="shared" si="131"/>
        <v>100</v>
      </c>
    </row>
    <row r="1301" spans="1:10" ht="31.15" hidden="1" customHeight="1" x14ac:dyDescent="0.25">
      <c r="A1301" s="335" t="s">
        <v>88</v>
      </c>
      <c r="B1301" s="482">
        <v>908</v>
      </c>
      <c r="C1301" s="268" t="s">
        <v>129</v>
      </c>
      <c r="D1301" s="268" t="s">
        <v>120</v>
      </c>
      <c r="E1301" s="268" t="s">
        <v>724</v>
      </c>
      <c r="F1301" s="268" t="s">
        <v>89</v>
      </c>
      <c r="G1301" s="337">
        <f t="shared" si="133"/>
        <v>5.7071318157464468E-15</v>
      </c>
      <c r="H1301" s="337">
        <f t="shared" si="133"/>
        <v>5.7071318157464468E-15</v>
      </c>
      <c r="I1301" s="337">
        <f t="shared" si="131"/>
        <v>100</v>
      </c>
    </row>
    <row r="1302" spans="1:10" ht="35.25" hidden="1" customHeight="1" x14ac:dyDescent="0.25">
      <c r="A1302" s="335" t="s">
        <v>90</v>
      </c>
      <c r="B1302" s="482">
        <v>908</v>
      </c>
      <c r="C1302" s="268" t="s">
        <v>129</v>
      </c>
      <c r="D1302" s="268" t="s">
        <v>120</v>
      </c>
      <c r="E1302" s="268" t="s">
        <v>724</v>
      </c>
      <c r="F1302" s="268" t="s">
        <v>91</v>
      </c>
      <c r="G1302" s="337">
        <f>142.69648-98.71988-43.976-0.0006</f>
        <v>5.7071318157464468E-15</v>
      </c>
      <c r="H1302" s="337">
        <f>142.69648-98.71988-43.976-0.0006</f>
        <v>5.7071318157464468E-15</v>
      </c>
      <c r="I1302" s="337">
        <f t="shared" si="131"/>
        <v>100</v>
      </c>
      <c r="J1302" s="341"/>
    </row>
    <row r="1303" spans="1:10" ht="15.75" x14ac:dyDescent="0.25">
      <c r="A1303" s="335" t="s">
        <v>813</v>
      </c>
      <c r="B1303" s="482">
        <v>908</v>
      </c>
      <c r="C1303" s="268" t="s">
        <v>129</v>
      </c>
      <c r="D1303" s="268" t="s">
        <v>120</v>
      </c>
      <c r="E1303" s="268" t="s">
        <v>1056</v>
      </c>
      <c r="F1303" s="268"/>
      <c r="G1303" s="337">
        <f>G1304</f>
        <v>1451.1822400000001</v>
      </c>
      <c r="H1303" s="337">
        <f>H1304</f>
        <v>1410.2840000000001</v>
      </c>
      <c r="I1303" s="337">
        <f t="shared" si="131"/>
        <v>97.181729566921931</v>
      </c>
    </row>
    <row r="1304" spans="1:10" ht="31.15" customHeight="1" x14ac:dyDescent="0.25">
      <c r="A1304" s="335" t="s">
        <v>88</v>
      </c>
      <c r="B1304" s="482">
        <v>908</v>
      </c>
      <c r="C1304" s="268" t="s">
        <v>129</v>
      </c>
      <c r="D1304" s="268" t="s">
        <v>120</v>
      </c>
      <c r="E1304" s="268" t="s">
        <v>1056</v>
      </c>
      <c r="F1304" s="268" t="s">
        <v>89</v>
      </c>
      <c r="G1304" s="337">
        <f>G1305</f>
        <v>1451.1822400000001</v>
      </c>
      <c r="H1304" s="337">
        <f>H1305</f>
        <v>1410.2840000000001</v>
      </c>
      <c r="I1304" s="337">
        <f t="shared" si="131"/>
        <v>97.181729566921931</v>
      </c>
    </row>
    <row r="1305" spans="1:10" ht="31.15" customHeight="1" x14ac:dyDescent="0.25">
      <c r="A1305" s="335" t="s">
        <v>90</v>
      </c>
      <c r="B1305" s="482">
        <v>908</v>
      </c>
      <c r="C1305" s="268" t="s">
        <v>129</v>
      </c>
      <c r="D1305" s="268" t="s">
        <v>120</v>
      </c>
      <c r="E1305" s="268" t="s">
        <v>1056</v>
      </c>
      <c r="F1305" s="268" t="s">
        <v>91</v>
      </c>
      <c r="G1305" s="337">
        <f>98.71988+1352.46236</f>
        <v>1451.1822400000001</v>
      </c>
      <c r="H1305" s="337">
        <v>1410.2840000000001</v>
      </c>
      <c r="I1305" s="337">
        <f t="shared" si="131"/>
        <v>97.181729566921931</v>
      </c>
    </row>
    <row r="1306" spans="1:10" ht="31.5" x14ac:dyDescent="0.25">
      <c r="A1306" s="116" t="s">
        <v>224</v>
      </c>
      <c r="B1306" s="432">
        <v>908</v>
      </c>
      <c r="C1306" s="481" t="s">
        <v>129</v>
      </c>
      <c r="D1306" s="481" t="s">
        <v>129</v>
      </c>
      <c r="E1306" s="481"/>
      <c r="F1306" s="481"/>
      <c r="G1306" s="338">
        <f>G1307+G1330+G1361</f>
        <v>32134.324549999998</v>
      </c>
      <c r="H1306" s="338">
        <f>H1307+H1330+H1361</f>
        <v>32093.800189999994</v>
      </c>
      <c r="I1306" s="338">
        <f t="shared" si="131"/>
        <v>99.87389073656442</v>
      </c>
    </row>
    <row r="1307" spans="1:10" ht="31.5" x14ac:dyDescent="0.25">
      <c r="A1307" s="116" t="s">
        <v>362</v>
      </c>
      <c r="B1307" s="432">
        <v>908</v>
      </c>
      <c r="C1307" s="481" t="s">
        <v>129</v>
      </c>
      <c r="D1307" s="481" t="s">
        <v>129</v>
      </c>
      <c r="E1307" s="481" t="s">
        <v>321</v>
      </c>
      <c r="F1307" s="481"/>
      <c r="G1307" s="338">
        <f>G1308</f>
        <v>17416.190279999999</v>
      </c>
      <c r="H1307" s="338">
        <f>H1308</f>
        <v>17375.665919999999</v>
      </c>
      <c r="I1307" s="338">
        <f t="shared" si="131"/>
        <v>99.767317884402445</v>
      </c>
    </row>
    <row r="1308" spans="1:10" ht="15.75" x14ac:dyDescent="0.25">
      <c r="A1308" s="116" t="s">
        <v>363</v>
      </c>
      <c r="B1308" s="432">
        <v>908</v>
      </c>
      <c r="C1308" s="481" t="s">
        <v>129</v>
      </c>
      <c r="D1308" s="481" t="s">
        <v>129</v>
      </c>
      <c r="E1308" s="481" t="s">
        <v>322</v>
      </c>
      <c r="F1308" s="481"/>
      <c r="G1308" s="338">
        <f>G1309+G1321+G1316+G1324+G1327</f>
        <v>17416.190279999999</v>
      </c>
      <c r="H1308" s="338">
        <f>H1309+H1321+H1316+H1324+H1327</f>
        <v>17375.665919999999</v>
      </c>
      <c r="I1308" s="338">
        <f t="shared" si="131"/>
        <v>99.767317884402445</v>
      </c>
    </row>
    <row r="1309" spans="1:10" ht="32.25" customHeight="1" x14ac:dyDescent="0.25">
      <c r="A1309" s="335" t="s">
        <v>346</v>
      </c>
      <c r="B1309" s="482">
        <v>908</v>
      </c>
      <c r="C1309" s="268" t="s">
        <v>129</v>
      </c>
      <c r="D1309" s="268" t="s">
        <v>129</v>
      </c>
      <c r="E1309" s="268" t="s">
        <v>323</v>
      </c>
      <c r="F1309" s="268"/>
      <c r="G1309" s="337">
        <f>G1310+G1314+G1312</f>
        <v>15685.75057</v>
      </c>
      <c r="H1309" s="337">
        <f>H1310+H1314+H1312</f>
        <v>15645.226209999999</v>
      </c>
      <c r="I1309" s="337">
        <f t="shared" si="131"/>
        <v>99.741648575762085</v>
      </c>
    </row>
    <row r="1310" spans="1:10" ht="78.75" customHeight="1" x14ac:dyDescent="0.25">
      <c r="A1310" s="335" t="s">
        <v>84</v>
      </c>
      <c r="B1310" s="482">
        <v>908</v>
      </c>
      <c r="C1310" s="268" t="s">
        <v>129</v>
      </c>
      <c r="D1310" s="268" t="s">
        <v>129</v>
      </c>
      <c r="E1310" s="268" t="s">
        <v>323</v>
      </c>
      <c r="F1310" s="268" t="s">
        <v>85</v>
      </c>
      <c r="G1310" s="337">
        <f>G1311</f>
        <v>15633.04909</v>
      </c>
      <c r="H1310" s="337">
        <f>H1311</f>
        <v>15592.524729999999</v>
      </c>
      <c r="I1310" s="337">
        <f t="shared" si="131"/>
        <v>99.740777632266742</v>
      </c>
    </row>
    <row r="1311" spans="1:10" ht="31.5" x14ac:dyDescent="0.25">
      <c r="A1311" s="335" t="s">
        <v>86</v>
      </c>
      <c r="B1311" s="482">
        <v>908</v>
      </c>
      <c r="C1311" s="268" t="s">
        <v>129</v>
      </c>
      <c r="D1311" s="268" t="s">
        <v>129</v>
      </c>
      <c r="E1311" s="268" t="s">
        <v>323</v>
      </c>
      <c r="F1311" s="268" t="s">
        <v>87</v>
      </c>
      <c r="G1311" s="271">
        <f>16065.34-8794.8731+8794.8731-4678.2+15+3700+978.2-1500+1500+36.8-265.89595+219.51+66.29-353.08759-150.90737</f>
        <v>15633.04909</v>
      </c>
      <c r="H1311" s="271">
        <v>15592.524729999999</v>
      </c>
      <c r="I1311" s="337">
        <f t="shared" si="131"/>
        <v>99.740777632266742</v>
      </c>
      <c r="J1311" s="341"/>
    </row>
    <row r="1312" spans="1:10" ht="31.5" x14ac:dyDescent="0.25">
      <c r="A1312" s="335" t="s">
        <v>88</v>
      </c>
      <c r="B1312" s="482">
        <v>908</v>
      </c>
      <c r="C1312" s="268" t="s">
        <v>129</v>
      </c>
      <c r="D1312" s="268" t="s">
        <v>129</v>
      </c>
      <c r="E1312" s="268" t="s">
        <v>323</v>
      </c>
      <c r="F1312" s="268" t="s">
        <v>89</v>
      </c>
      <c r="G1312" s="337">
        <f>G1313</f>
        <v>52.701480000000004</v>
      </c>
      <c r="H1312" s="337">
        <f>H1313</f>
        <v>52.701479999999997</v>
      </c>
      <c r="I1312" s="337">
        <f t="shared" si="131"/>
        <v>99.999999999999986</v>
      </c>
    </row>
    <row r="1313" spans="1:10" ht="36.75" customHeight="1" x14ac:dyDescent="0.25">
      <c r="A1313" s="335" t="s">
        <v>90</v>
      </c>
      <c r="B1313" s="482">
        <v>908</v>
      </c>
      <c r="C1313" s="268" t="s">
        <v>129</v>
      </c>
      <c r="D1313" s="268" t="s">
        <v>129</v>
      </c>
      <c r="E1313" s="268" t="s">
        <v>323</v>
      </c>
      <c r="F1313" s="268" t="s">
        <v>91</v>
      </c>
      <c r="G1313" s="271">
        <f>25+42-14.29852</f>
        <v>52.701480000000004</v>
      </c>
      <c r="H1313" s="271">
        <v>52.701479999999997</v>
      </c>
      <c r="I1313" s="337">
        <f t="shared" si="131"/>
        <v>99.999999999999986</v>
      </c>
      <c r="J1313" s="341"/>
    </row>
    <row r="1314" spans="1:10" ht="15" hidden="1" customHeight="1" x14ac:dyDescent="0.25">
      <c r="A1314" s="335" t="s">
        <v>92</v>
      </c>
      <c r="B1314" s="482">
        <v>908</v>
      </c>
      <c r="C1314" s="268" t="s">
        <v>129</v>
      </c>
      <c r="D1314" s="268" t="s">
        <v>129</v>
      </c>
      <c r="E1314" s="268" t="s">
        <v>323</v>
      </c>
      <c r="F1314" s="268" t="s">
        <v>98</v>
      </c>
      <c r="G1314" s="337">
        <f>G1315</f>
        <v>0</v>
      </c>
      <c r="H1314" s="337">
        <f>H1315</f>
        <v>0</v>
      </c>
      <c r="I1314" s="337" t="e">
        <f t="shared" si="131"/>
        <v>#DIV/0!</v>
      </c>
    </row>
    <row r="1315" spans="1:10" ht="15.75" hidden="1" x14ac:dyDescent="0.25">
      <c r="A1315" s="335" t="s">
        <v>223</v>
      </c>
      <c r="B1315" s="482">
        <v>908</v>
      </c>
      <c r="C1315" s="268" t="s">
        <v>129</v>
      </c>
      <c r="D1315" s="268" t="s">
        <v>129</v>
      </c>
      <c r="E1315" s="268" t="s">
        <v>323</v>
      </c>
      <c r="F1315" s="268" t="s">
        <v>94</v>
      </c>
      <c r="G1315" s="337"/>
      <c r="H1315" s="337"/>
      <c r="I1315" s="337" t="e">
        <f t="shared" si="131"/>
        <v>#DIV/0!</v>
      </c>
    </row>
    <row r="1316" spans="1:10" ht="31.5" x14ac:dyDescent="0.25">
      <c r="A1316" s="335" t="s">
        <v>305</v>
      </c>
      <c r="B1316" s="482">
        <v>908</v>
      </c>
      <c r="C1316" s="268" t="s">
        <v>129</v>
      </c>
      <c r="D1316" s="268" t="s">
        <v>129</v>
      </c>
      <c r="E1316" s="268" t="s">
        <v>324</v>
      </c>
      <c r="F1316" s="268"/>
      <c r="G1316" s="337">
        <f>G1317+G1319</f>
        <v>1069.42813</v>
      </c>
      <c r="H1316" s="337">
        <f>H1317+H1319</f>
        <v>1069.42813</v>
      </c>
      <c r="I1316" s="337">
        <f t="shared" si="131"/>
        <v>100</v>
      </c>
    </row>
    <row r="1317" spans="1:10" ht="78.75" x14ac:dyDescent="0.25">
      <c r="A1317" s="335" t="s">
        <v>84</v>
      </c>
      <c r="B1317" s="482">
        <v>908</v>
      </c>
      <c r="C1317" s="268" t="s">
        <v>129</v>
      </c>
      <c r="D1317" s="268" t="s">
        <v>129</v>
      </c>
      <c r="E1317" s="268" t="s">
        <v>324</v>
      </c>
      <c r="F1317" s="268" t="s">
        <v>85</v>
      </c>
      <c r="G1317" s="337">
        <f>G1318</f>
        <v>1066.3781300000001</v>
      </c>
      <c r="H1317" s="337">
        <f>H1318</f>
        <v>1066.3781300000001</v>
      </c>
      <c r="I1317" s="337">
        <f t="shared" si="131"/>
        <v>100</v>
      </c>
    </row>
    <row r="1318" spans="1:10" ht="31.5" x14ac:dyDescent="0.25">
      <c r="A1318" s="335" t="s">
        <v>86</v>
      </c>
      <c r="B1318" s="482">
        <v>908</v>
      </c>
      <c r="C1318" s="268" t="s">
        <v>129</v>
      </c>
      <c r="D1318" s="268" t="s">
        <v>129</v>
      </c>
      <c r="E1318" s="268" t="s">
        <v>324</v>
      </c>
      <c r="F1318" s="268" t="s">
        <v>87</v>
      </c>
      <c r="G1318" s="337">
        <f>1510.89-358.63686-85.87501+20.64+6.23-20.64-6.23</f>
        <v>1066.3781300000001</v>
      </c>
      <c r="H1318" s="337">
        <v>1066.3781300000001</v>
      </c>
      <c r="I1318" s="337">
        <f t="shared" si="131"/>
        <v>100</v>
      </c>
      <c r="J1318" s="450"/>
    </row>
    <row r="1319" spans="1:10" ht="32.25" customHeight="1" x14ac:dyDescent="0.25">
      <c r="A1319" s="318" t="s">
        <v>1058</v>
      </c>
      <c r="B1319" s="482">
        <v>908</v>
      </c>
      <c r="C1319" s="268" t="s">
        <v>129</v>
      </c>
      <c r="D1319" s="268" t="s">
        <v>129</v>
      </c>
      <c r="E1319" s="268" t="s">
        <v>324</v>
      </c>
      <c r="F1319" s="268" t="s">
        <v>89</v>
      </c>
      <c r="G1319" s="337">
        <f>G1320</f>
        <v>3.05</v>
      </c>
      <c r="H1319" s="337">
        <f>H1320</f>
        <v>3.05</v>
      </c>
      <c r="I1319" s="337">
        <f t="shared" si="131"/>
        <v>100</v>
      </c>
    </row>
    <row r="1320" spans="1:10" ht="34.5" customHeight="1" x14ac:dyDescent="0.25">
      <c r="A1320" s="318" t="s">
        <v>1058</v>
      </c>
      <c r="B1320" s="482">
        <v>908</v>
      </c>
      <c r="C1320" s="268" t="s">
        <v>129</v>
      </c>
      <c r="D1320" s="268" t="s">
        <v>129</v>
      </c>
      <c r="E1320" s="268" t="s">
        <v>324</v>
      </c>
      <c r="F1320" s="268" t="s">
        <v>91</v>
      </c>
      <c r="G1320" s="337">
        <v>3.05</v>
      </c>
      <c r="H1320" s="337">
        <v>3.05</v>
      </c>
      <c r="I1320" s="337">
        <f t="shared" si="131"/>
        <v>100</v>
      </c>
    </row>
    <row r="1321" spans="1:10" ht="31.5" x14ac:dyDescent="0.25">
      <c r="A1321" s="335" t="s">
        <v>304</v>
      </c>
      <c r="B1321" s="482">
        <v>908</v>
      </c>
      <c r="C1321" s="268" t="s">
        <v>129</v>
      </c>
      <c r="D1321" s="268" t="s">
        <v>129</v>
      </c>
      <c r="E1321" s="268" t="s">
        <v>325</v>
      </c>
      <c r="F1321" s="268"/>
      <c r="G1321" s="337">
        <f>G1322</f>
        <v>440.97158000000002</v>
      </c>
      <c r="H1321" s="337">
        <f>H1322</f>
        <v>440.97158000000002</v>
      </c>
      <c r="I1321" s="337">
        <f t="shared" si="131"/>
        <v>100</v>
      </c>
    </row>
    <row r="1322" spans="1:10" ht="78.75" x14ac:dyDescent="0.25">
      <c r="A1322" s="335" t="s">
        <v>84</v>
      </c>
      <c r="B1322" s="482">
        <v>908</v>
      </c>
      <c r="C1322" s="268" t="s">
        <v>129</v>
      </c>
      <c r="D1322" s="268" t="s">
        <v>129</v>
      </c>
      <c r="E1322" s="268" t="s">
        <v>325</v>
      </c>
      <c r="F1322" s="268" t="s">
        <v>85</v>
      </c>
      <c r="G1322" s="337">
        <f>G1323</f>
        <v>440.97158000000002</v>
      </c>
      <c r="H1322" s="337">
        <f>H1323</f>
        <v>440.97158000000002</v>
      </c>
      <c r="I1322" s="337">
        <f t="shared" si="131"/>
        <v>100</v>
      </c>
    </row>
    <row r="1323" spans="1:10" ht="31.5" x14ac:dyDescent="0.25">
      <c r="A1323" s="335" t="s">
        <v>86</v>
      </c>
      <c r="B1323" s="482">
        <v>908</v>
      </c>
      <c r="C1323" s="268" t="s">
        <v>129</v>
      </c>
      <c r="D1323" s="268" t="s">
        <v>129</v>
      </c>
      <c r="E1323" s="268" t="s">
        <v>325</v>
      </c>
      <c r="F1323" s="268" t="s">
        <v>87</v>
      </c>
      <c r="G1323" s="337">
        <f>559-118.02842</f>
        <v>440.97158000000002</v>
      </c>
      <c r="H1323" s="337">
        <v>440.97158000000002</v>
      </c>
      <c r="I1323" s="337">
        <f t="shared" si="131"/>
        <v>100</v>
      </c>
    </row>
    <row r="1324" spans="1:10" ht="31.5" x14ac:dyDescent="0.25">
      <c r="A1324" s="335" t="s">
        <v>1085</v>
      </c>
      <c r="B1324" s="482">
        <v>908</v>
      </c>
      <c r="C1324" s="268" t="s">
        <v>129</v>
      </c>
      <c r="D1324" s="268" t="s">
        <v>129</v>
      </c>
      <c r="E1324" s="268" t="s">
        <v>1081</v>
      </c>
      <c r="F1324" s="268"/>
      <c r="G1324" s="337">
        <f>G1325</f>
        <v>156.24</v>
      </c>
      <c r="H1324" s="337">
        <f>H1325</f>
        <v>156.24</v>
      </c>
      <c r="I1324" s="337">
        <f t="shared" si="131"/>
        <v>100</v>
      </c>
    </row>
    <row r="1325" spans="1:10" ht="78.75" x14ac:dyDescent="0.25">
      <c r="A1325" s="335" t="s">
        <v>84</v>
      </c>
      <c r="B1325" s="482">
        <v>908</v>
      </c>
      <c r="C1325" s="268" t="s">
        <v>129</v>
      </c>
      <c r="D1325" s="268" t="s">
        <v>129</v>
      </c>
      <c r="E1325" s="268" t="s">
        <v>1081</v>
      </c>
      <c r="F1325" s="268" t="s">
        <v>85</v>
      </c>
      <c r="G1325" s="337">
        <f>G1326</f>
        <v>156.24</v>
      </c>
      <c r="H1325" s="337">
        <f>H1326</f>
        <v>156.24</v>
      </c>
      <c r="I1325" s="337">
        <f t="shared" si="131"/>
        <v>100</v>
      </c>
    </row>
    <row r="1326" spans="1:10" ht="31.5" x14ac:dyDescent="0.25">
      <c r="A1326" s="335" t="s">
        <v>86</v>
      </c>
      <c r="B1326" s="482">
        <v>908</v>
      </c>
      <c r="C1326" s="268" t="s">
        <v>129</v>
      </c>
      <c r="D1326" s="268" t="s">
        <v>129</v>
      </c>
      <c r="E1326" s="268" t="s">
        <v>1081</v>
      </c>
      <c r="F1326" s="268" t="s">
        <v>87</v>
      </c>
      <c r="G1326" s="337">
        <v>156.24</v>
      </c>
      <c r="H1326" s="337">
        <v>156.24</v>
      </c>
      <c r="I1326" s="337">
        <f t="shared" si="131"/>
        <v>100</v>
      </c>
    </row>
    <row r="1327" spans="1:10" ht="47.25" x14ac:dyDescent="0.25">
      <c r="A1327" s="335" t="s">
        <v>1107</v>
      </c>
      <c r="B1327" s="482">
        <v>908</v>
      </c>
      <c r="C1327" s="268" t="s">
        <v>129</v>
      </c>
      <c r="D1327" s="268" t="s">
        <v>129</v>
      </c>
      <c r="E1327" s="268" t="s">
        <v>1106</v>
      </c>
      <c r="F1327" s="268"/>
      <c r="G1327" s="337">
        <f>G1328</f>
        <v>63.8</v>
      </c>
      <c r="H1327" s="337">
        <f>H1328</f>
        <v>63.8</v>
      </c>
      <c r="I1327" s="337">
        <f t="shared" si="131"/>
        <v>100</v>
      </c>
    </row>
    <row r="1328" spans="1:10" ht="67.5" customHeight="1" x14ac:dyDescent="0.25">
      <c r="A1328" s="335" t="s">
        <v>84</v>
      </c>
      <c r="B1328" s="482">
        <v>908</v>
      </c>
      <c r="C1328" s="268" t="s">
        <v>129</v>
      </c>
      <c r="D1328" s="268" t="s">
        <v>129</v>
      </c>
      <c r="E1328" s="268" t="s">
        <v>1106</v>
      </c>
      <c r="F1328" s="268" t="s">
        <v>85</v>
      </c>
      <c r="G1328" s="337">
        <f>G1329</f>
        <v>63.8</v>
      </c>
      <c r="H1328" s="337">
        <f>H1329</f>
        <v>63.8</v>
      </c>
      <c r="I1328" s="337">
        <f t="shared" si="131"/>
        <v>100</v>
      </c>
    </row>
    <row r="1329" spans="1:10" ht="31.5" x14ac:dyDescent="0.25">
      <c r="A1329" s="335" t="s">
        <v>86</v>
      </c>
      <c r="B1329" s="482">
        <v>908</v>
      </c>
      <c r="C1329" s="268" t="s">
        <v>129</v>
      </c>
      <c r="D1329" s="268" t="s">
        <v>129</v>
      </c>
      <c r="E1329" s="268" t="s">
        <v>1106</v>
      </c>
      <c r="F1329" s="268" t="s">
        <v>87</v>
      </c>
      <c r="G1329" s="337">
        <f>49.45738+14.34262</f>
        <v>63.8</v>
      </c>
      <c r="H1329" s="337">
        <v>63.8</v>
      </c>
      <c r="I1329" s="337">
        <f t="shared" si="131"/>
        <v>100</v>
      </c>
    </row>
    <row r="1330" spans="1:10" ht="15" customHeight="1" x14ac:dyDescent="0.25">
      <c r="A1330" s="116" t="s">
        <v>97</v>
      </c>
      <c r="B1330" s="432">
        <v>908</v>
      </c>
      <c r="C1330" s="481" t="s">
        <v>129</v>
      </c>
      <c r="D1330" s="481" t="s">
        <v>129</v>
      </c>
      <c r="E1330" s="481" t="s">
        <v>329</v>
      </c>
      <c r="F1330" s="481"/>
      <c r="G1330" s="338">
        <f>G1331+G1348</f>
        <v>14718.134269999999</v>
      </c>
      <c r="H1330" s="338">
        <f>H1331+H1348</f>
        <v>14718.134269999997</v>
      </c>
      <c r="I1330" s="338">
        <f t="shared" si="131"/>
        <v>99.999999999999986</v>
      </c>
    </row>
    <row r="1331" spans="1:10" ht="15.75" x14ac:dyDescent="0.25">
      <c r="A1331" s="116" t="s">
        <v>385</v>
      </c>
      <c r="B1331" s="432">
        <v>908</v>
      </c>
      <c r="C1331" s="481" t="s">
        <v>129</v>
      </c>
      <c r="D1331" s="481" t="s">
        <v>129</v>
      </c>
      <c r="E1331" s="481" t="s">
        <v>384</v>
      </c>
      <c r="F1331" s="481"/>
      <c r="G1331" s="273">
        <f>G1332+G1335+G1342+G1345</f>
        <v>14507.961469999998</v>
      </c>
      <c r="H1331" s="273">
        <f>H1332+H1335+H1342+H1345</f>
        <v>14507.961469999997</v>
      </c>
      <c r="I1331" s="338">
        <f t="shared" si="131"/>
        <v>99.999999999999986</v>
      </c>
    </row>
    <row r="1332" spans="1:10" ht="31.5" x14ac:dyDescent="0.25">
      <c r="A1332" s="335" t="s">
        <v>304</v>
      </c>
      <c r="B1332" s="482">
        <v>908</v>
      </c>
      <c r="C1332" s="268" t="s">
        <v>129</v>
      </c>
      <c r="D1332" s="268" t="s">
        <v>129</v>
      </c>
      <c r="E1332" s="268" t="s">
        <v>387</v>
      </c>
      <c r="F1332" s="268"/>
      <c r="G1332" s="337">
        <f>G1333</f>
        <v>500.24930000000001</v>
      </c>
      <c r="H1332" s="337">
        <f>H1333</f>
        <v>500.24930000000001</v>
      </c>
      <c r="I1332" s="337">
        <f t="shared" si="131"/>
        <v>100</v>
      </c>
    </row>
    <row r="1333" spans="1:10" ht="78.75" x14ac:dyDescent="0.25">
      <c r="A1333" s="335" t="s">
        <v>84</v>
      </c>
      <c r="B1333" s="482">
        <v>908</v>
      </c>
      <c r="C1333" s="268" t="s">
        <v>129</v>
      </c>
      <c r="D1333" s="268" t="s">
        <v>129</v>
      </c>
      <c r="E1333" s="268" t="s">
        <v>387</v>
      </c>
      <c r="F1333" s="268" t="s">
        <v>85</v>
      </c>
      <c r="G1333" s="337">
        <f>G1334</f>
        <v>500.24930000000001</v>
      </c>
      <c r="H1333" s="337">
        <f>H1334</f>
        <v>500.24930000000001</v>
      </c>
      <c r="I1333" s="337">
        <f t="shared" si="131"/>
        <v>100</v>
      </c>
    </row>
    <row r="1334" spans="1:10" ht="19.5" customHeight="1" x14ac:dyDescent="0.25">
      <c r="A1334" s="335" t="s">
        <v>168</v>
      </c>
      <c r="B1334" s="482">
        <v>908</v>
      </c>
      <c r="C1334" s="268" t="s">
        <v>129</v>
      </c>
      <c r="D1334" s="268" t="s">
        <v>129</v>
      </c>
      <c r="E1334" s="268" t="s">
        <v>387</v>
      </c>
      <c r="F1334" s="268" t="s">
        <v>117</v>
      </c>
      <c r="G1334" s="337">
        <f>498+3.7+3.1+1.5-6.0507</f>
        <v>500.24930000000001</v>
      </c>
      <c r="H1334" s="337">
        <v>500.24930000000001</v>
      </c>
      <c r="I1334" s="337">
        <f t="shared" si="131"/>
        <v>100</v>
      </c>
    </row>
    <row r="1335" spans="1:10" ht="15.75" x14ac:dyDescent="0.25">
      <c r="A1335" s="335" t="s">
        <v>283</v>
      </c>
      <c r="B1335" s="482">
        <v>908</v>
      </c>
      <c r="C1335" s="268" t="s">
        <v>129</v>
      </c>
      <c r="D1335" s="268" t="s">
        <v>129</v>
      </c>
      <c r="E1335" s="268" t="s">
        <v>386</v>
      </c>
      <c r="F1335" s="268"/>
      <c r="G1335" s="337">
        <f>G1337+G1339+G1340</f>
        <v>13764.35217</v>
      </c>
      <c r="H1335" s="337">
        <f>H1337+H1339+H1340</f>
        <v>13764.352169999998</v>
      </c>
      <c r="I1335" s="337">
        <f t="shared" si="131"/>
        <v>99.999999999999986</v>
      </c>
    </row>
    <row r="1336" spans="1:10" ht="78.75" x14ac:dyDescent="0.25">
      <c r="A1336" s="335" t="s">
        <v>84</v>
      </c>
      <c r="B1336" s="482">
        <v>908</v>
      </c>
      <c r="C1336" s="268" t="s">
        <v>129</v>
      </c>
      <c r="D1336" s="268" t="s">
        <v>129</v>
      </c>
      <c r="E1336" s="268" t="s">
        <v>386</v>
      </c>
      <c r="F1336" s="268" t="s">
        <v>85</v>
      </c>
      <c r="G1336" s="337">
        <f>G1337</f>
        <v>11968.096060000002</v>
      </c>
      <c r="H1336" s="337">
        <f>H1337</f>
        <v>11968.09606</v>
      </c>
      <c r="I1336" s="337">
        <f t="shared" si="131"/>
        <v>99.999999999999986</v>
      </c>
    </row>
    <row r="1337" spans="1:10" ht="15.75" x14ac:dyDescent="0.25">
      <c r="A1337" s="335" t="s">
        <v>168</v>
      </c>
      <c r="B1337" s="482">
        <v>908</v>
      </c>
      <c r="C1337" s="268" t="s">
        <v>129</v>
      </c>
      <c r="D1337" s="268" t="s">
        <v>129</v>
      </c>
      <c r="E1337" s="268" t="s">
        <v>386</v>
      </c>
      <c r="F1337" s="268" t="s">
        <v>117</v>
      </c>
      <c r="G1337" s="271">
        <f>11484.03+2+147.65624+241.42136+75.31435+17.67411</f>
        <v>11968.096060000002</v>
      </c>
      <c r="H1337" s="271">
        <v>11968.09606</v>
      </c>
      <c r="I1337" s="337">
        <f t="shared" si="131"/>
        <v>99.999999999999986</v>
      </c>
    </row>
    <row r="1338" spans="1:10" ht="31.5" x14ac:dyDescent="0.25">
      <c r="A1338" s="335" t="s">
        <v>88</v>
      </c>
      <c r="B1338" s="482">
        <v>908</v>
      </c>
      <c r="C1338" s="268" t="s">
        <v>129</v>
      </c>
      <c r="D1338" s="268" t="s">
        <v>129</v>
      </c>
      <c r="E1338" s="268" t="s">
        <v>386</v>
      </c>
      <c r="F1338" s="268" t="s">
        <v>89</v>
      </c>
      <c r="G1338" s="337">
        <f>G1339</f>
        <v>1752.0011100000002</v>
      </c>
      <c r="H1338" s="337">
        <f>H1339</f>
        <v>1752.0011099999999</v>
      </c>
      <c r="I1338" s="337">
        <f t="shared" si="131"/>
        <v>99.999999999999986</v>
      </c>
    </row>
    <row r="1339" spans="1:10" ht="31.5" x14ac:dyDescent="0.25">
      <c r="A1339" s="335" t="s">
        <v>90</v>
      </c>
      <c r="B1339" s="482">
        <v>908</v>
      </c>
      <c r="C1339" s="268" t="s">
        <v>129</v>
      </c>
      <c r="D1339" s="268" t="s">
        <v>129</v>
      </c>
      <c r="E1339" s="268" t="s">
        <v>386</v>
      </c>
      <c r="F1339" s="268" t="s">
        <v>91</v>
      </c>
      <c r="G1339" s="271">
        <f>1634.09+1+230.5-3.7-3.1-1.5+33+0.592+6.19442-8.76395-99.965-0.058-6.599-31.47512+1.78576</f>
        <v>1752.0011100000002</v>
      </c>
      <c r="H1339" s="271">
        <v>1752.0011099999999</v>
      </c>
      <c r="I1339" s="337">
        <f t="shared" si="131"/>
        <v>99.999999999999986</v>
      </c>
      <c r="J1339" s="341"/>
    </row>
    <row r="1340" spans="1:10" ht="15.75" x14ac:dyDescent="0.25">
      <c r="A1340" s="335" t="s">
        <v>92</v>
      </c>
      <c r="B1340" s="482">
        <v>908</v>
      </c>
      <c r="C1340" s="268" t="s">
        <v>129</v>
      </c>
      <c r="D1340" s="268" t="s">
        <v>129</v>
      </c>
      <c r="E1340" s="268" t="s">
        <v>386</v>
      </c>
      <c r="F1340" s="268" t="s">
        <v>98</v>
      </c>
      <c r="G1340" s="271">
        <f>G1341</f>
        <v>44.255000000000003</v>
      </c>
      <c r="H1340" s="271">
        <f>H1341</f>
        <v>44.255000000000003</v>
      </c>
      <c r="I1340" s="337">
        <f t="shared" si="131"/>
        <v>100</v>
      </c>
    </row>
    <row r="1341" spans="1:10" ht="15.75" x14ac:dyDescent="0.25">
      <c r="A1341" s="335" t="s">
        <v>223</v>
      </c>
      <c r="B1341" s="482">
        <v>908</v>
      </c>
      <c r="C1341" s="268" t="s">
        <v>129</v>
      </c>
      <c r="D1341" s="268" t="s">
        <v>129</v>
      </c>
      <c r="E1341" s="268" t="s">
        <v>386</v>
      </c>
      <c r="F1341" s="268" t="s">
        <v>94</v>
      </c>
      <c r="G1341" s="271">
        <f>47-1-0.745-1</f>
        <v>44.255000000000003</v>
      </c>
      <c r="H1341" s="271">
        <v>44.255000000000003</v>
      </c>
      <c r="I1341" s="337">
        <f t="shared" si="131"/>
        <v>100</v>
      </c>
    </row>
    <row r="1342" spans="1:10" ht="31.5" x14ac:dyDescent="0.25">
      <c r="A1342" s="335" t="s">
        <v>1085</v>
      </c>
      <c r="B1342" s="482">
        <v>908</v>
      </c>
      <c r="C1342" s="268" t="s">
        <v>129</v>
      </c>
      <c r="D1342" s="268" t="s">
        <v>129</v>
      </c>
      <c r="E1342" s="268" t="s">
        <v>1083</v>
      </c>
      <c r="F1342" s="268"/>
      <c r="G1342" s="337">
        <f>G1343</f>
        <v>39.06</v>
      </c>
      <c r="H1342" s="337">
        <f>H1343</f>
        <v>39.06</v>
      </c>
      <c r="I1342" s="337">
        <f t="shared" si="131"/>
        <v>100</v>
      </c>
    </row>
    <row r="1343" spans="1:10" ht="78.75" x14ac:dyDescent="0.25">
      <c r="A1343" s="335" t="s">
        <v>84</v>
      </c>
      <c r="B1343" s="482">
        <v>908</v>
      </c>
      <c r="C1343" s="268" t="s">
        <v>129</v>
      </c>
      <c r="D1343" s="268" t="s">
        <v>129</v>
      </c>
      <c r="E1343" s="268" t="s">
        <v>1083</v>
      </c>
      <c r="F1343" s="268" t="s">
        <v>85</v>
      </c>
      <c r="G1343" s="337">
        <f>G1344</f>
        <v>39.06</v>
      </c>
      <c r="H1343" s="337">
        <f>H1344</f>
        <v>39.06</v>
      </c>
      <c r="I1343" s="337">
        <f t="shared" si="131"/>
        <v>100</v>
      </c>
    </row>
    <row r="1344" spans="1:10" ht="15.75" x14ac:dyDescent="0.25">
      <c r="A1344" s="335" t="s">
        <v>168</v>
      </c>
      <c r="B1344" s="482">
        <v>908</v>
      </c>
      <c r="C1344" s="268" t="s">
        <v>129</v>
      </c>
      <c r="D1344" s="268" t="s">
        <v>129</v>
      </c>
      <c r="E1344" s="268" t="s">
        <v>1083</v>
      </c>
      <c r="F1344" s="268" t="s">
        <v>117</v>
      </c>
      <c r="G1344" s="337">
        <v>39.06</v>
      </c>
      <c r="H1344" s="337">
        <v>39.06</v>
      </c>
      <c r="I1344" s="337">
        <f t="shared" si="131"/>
        <v>100</v>
      </c>
    </row>
    <row r="1345" spans="1:10" ht="31.5" x14ac:dyDescent="0.25">
      <c r="A1345" s="335" t="s">
        <v>1118</v>
      </c>
      <c r="B1345" s="482">
        <v>908</v>
      </c>
      <c r="C1345" s="268" t="s">
        <v>129</v>
      </c>
      <c r="D1345" s="268" t="s">
        <v>129</v>
      </c>
      <c r="E1345" s="268" t="s">
        <v>1119</v>
      </c>
      <c r="F1345" s="268"/>
      <c r="G1345" s="337">
        <f>G1346</f>
        <v>204.3</v>
      </c>
      <c r="H1345" s="337">
        <f>H1346</f>
        <v>204.3</v>
      </c>
      <c r="I1345" s="337">
        <f t="shared" si="131"/>
        <v>100</v>
      </c>
    </row>
    <row r="1346" spans="1:10" ht="71.25" customHeight="1" x14ac:dyDescent="0.25">
      <c r="A1346" s="335" t="s">
        <v>84</v>
      </c>
      <c r="B1346" s="482">
        <v>908</v>
      </c>
      <c r="C1346" s="268" t="s">
        <v>129</v>
      </c>
      <c r="D1346" s="268" t="s">
        <v>129</v>
      </c>
      <c r="E1346" s="268" t="s">
        <v>1119</v>
      </c>
      <c r="F1346" s="268" t="s">
        <v>85</v>
      </c>
      <c r="G1346" s="337">
        <f>G1347</f>
        <v>204.3</v>
      </c>
      <c r="H1346" s="337">
        <f>H1347</f>
        <v>204.3</v>
      </c>
      <c r="I1346" s="337">
        <f t="shared" si="131"/>
        <v>100</v>
      </c>
    </row>
    <row r="1347" spans="1:10" ht="15.75" x14ac:dyDescent="0.25">
      <c r="A1347" s="335" t="s">
        <v>168</v>
      </c>
      <c r="B1347" s="482">
        <v>908</v>
      </c>
      <c r="C1347" s="268" t="s">
        <v>129</v>
      </c>
      <c r="D1347" s="268" t="s">
        <v>129</v>
      </c>
      <c r="E1347" s="268" t="s">
        <v>1119</v>
      </c>
      <c r="F1347" s="268" t="s">
        <v>117</v>
      </c>
      <c r="G1347" s="337">
        <f>156.91+47.39</f>
        <v>204.3</v>
      </c>
      <c r="H1347" s="337">
        <v>204.3</v>
      </c>
      <c r="I1347" s="337">
        <f t="shared" si="131"/>
        <v>100</v>
      </c>
    </row>
    <row r="1348" spans="1:10" ht="31.5" x14ac:dyDescent="0.25">
      <c r="A1348" s="116" t="s">
        <v>330</v>
      </c>
      <c r="B1348" s="432">
        <v>908</v>
      </c>
      <c r="C1348" s="481" t="s">
        <v>129</v>
      </c>
      <c r="D1348" s="481" t="s">
        <v>129</v>
      </c>
      <c r="E1348" s="481" t="s">
        <v>328</v>
      </c>
      <c r="F1348" s="481"/>
      <c r="G1348" s="338">
        <f>G1349+G1356+G1366+G1369</f>
        <v>210.1728</v>
      </c>
      <c r="H1348" s="338">
        <f>H1349+H1356+H1366+H1369</f>
        <v>210.1728</v>
      </c>
      <c r="I1348" s="338">
        <f t="shared" si="131"/>
        <v>100</v>
      </c>
    </row>
    <row r="1349" spans="1:10" ht="31.5" hidden="1" x14ac:dyDescent="0.25">
      <c r="A1349" s="335" t="s">
        <v>225</v>
      </c>
      <c r="B1349" s="482">
        <v>908</v>
      </c>
      <c r="C1349" s="268" t="s">
        <v>129</v>
      </c>
      <c r="D1349" s="268" t="s">
        <v>129</v>
      </c>
      <c r="E1349" s="268" t="s">
        <v>415</v>
      </c>
      <c r="F1349" s="268"/>
      <c r="G1349" s="271">
        <f>G1352+G1350</f>
        <v>0</v>
      </c>
      <c r="H1349" s="271">
        <f>H1352+H1350</f>
        <v>0</v>
      </c>
      <c r="I1349" s="337" t="e">
        <f t="shared" si="131"/>
        <v>#DIV/0!</v>
      </c>
    </row>
    <row r="1350" spans="1:10" ht="15.75" hidden="1" x14ac:dyDescent="0.25">
      <c r="A1350" s="335" t="s">
        <v>681</v>
      </c>
      <c r="B1350" s="482">
        <v>908</v>
      </c>
      <c r="C1350" s="268" t="s">
        <v>129</v>
      </c>
      <c r="D1350" s="268" t="s">
        <v>129</v>
      </c>
      <c r="E1350" s="268" t="s">
        <v>415</v>
      </c>
      <c r="F1350" s="268" t="s">
        <v>138</v>
      </c>
      <c r="G1350" s="271">
        <f>G1351</f>
        <v>0</v>
      </c>
      <c r="H1350" s="271">
        <f>H1351</f>
        <v>0</v>
      </c>
      <c r="I1350" s="337" t="e">
        <f t="shared" si="131"/>
        <v>#DIV/0!</v>
      </c>
    </row>
    <row r="1351" spans="1:10" ht="15.75" hidden="1" x14ac:dyDescent="0.25">
      <c r="A1351" s="335" t="s">
        <v>680</v>
      </c>
      <c r="B1351" s="482">
        <v>908</v>
      </c>
      <c r="C1351" s="268" t="s">
        <v>129</v>
      </c>
      <c r="D1351" s="268" t="s">
        <v>129</v>
      </c>
      <c r="E1351" s="268" t="s">
        <v>415</v>
      </c>
      <c r="F1351" s="268" t="s">
        <v>682</v>
      </c>
      <c r="G1351" s="271">
        <f>4500-240-240-1748.75-2271.25</f>
        <v>0</v>
      </c>
      <c r="H1351" s="271">
        <f>4500-240-240-1748.75-2271.25</f>
        <v>0</v>
      </c>
      <c r="I1351" s="337" t="e">
        <f t="shared" si="131"/>
        <v>#DIV/0!</v>
      </c>
      <c r="J1351" s="285"/>
    </row>
    <row r="1352" spans="1:10" ht="15.75" hidden="1" x14ac:dyDescent="0.25">
      <c r="A1352" s="335" t="s">
        <v>92</v>
      </c>
      <c r="B1352" s="482">
        <v>908</v>
      </c>
      <c r="C1352" s="268" t="s">
        <v>129</v>
      </c>
      <c r="D1352" s="268" t="s">
        <v>129</v>
      </c>
      <c r="E1352" s="268" t="s">
        <v>415</v>
      </c>
      <c r="F1352" s="268" t="s">
        <v>98</v>
      </c>
      <c r="G1352" s="271">
        <f>G1353+G1354+G1355</f>
        <v>0</v>
      </c>
      <c r="H1352" s="271">
        <f>H1353+H1354+H1355</f>
        <v>0</v>
      </c>
      <c r="I1352" s="337" t="e">
        <f t="shared" si="131"/>
        <v>#DIV/0!</v>
      </c>
    </row>
    <row r="1353" spans="1:10" ht="47.25" hidden="1" customHeight="1" x14ac:dyDescent="0.25">
      <c r="A1353" s="335" t="s">
        <v>110</v>
      </c>
      <c r="B1353" s="482">
        <v>908</v>
      </c>
      <c r="C1353" s="268" t="s">
        <v>129</v>
      </c>
      <c r="D1353" s="268" t="s">
        <v>129</v>
      </c>
      <c r="E1353" s="268" t="s">
        <v>415</v>
      </c>
      <c r="F1353" s="268" t="s">
        <v>105</v>
      </c>
      <c r="G1353" s="271">
        <f>1000-1000</f>
        <v>0</v>
      </c>
      <c r="H1353" s="271">
        <f>1000-1000</f>
        <v>0</v>
      </c>
      <c r="I1353" s="337" t="e">
        <f t="shared" si="131"/>
        <v>#DIV/0!</v>
      </c>
      <c r="J1353" s="341"/>
    </row>
    <row r="1354" spans="1:10" ht="15.75" hidden="1" x14ac:dyDescent="0.25">
      <c r="A1354" s="335" t="s">
        <v>258</v>
      </c>
      <c r="B1354" s="482">
        <v>908</v>
      </c>
      <c r="C1354" s="268" t="s">
        <v>129</v>
      </c>
      <c r="D1354" s="268" t="s">
        <v>129</v>
      </c>
      <c r="E1354" s="268" t="s">
        <v>415</v>
      </c>
      <c r="F1354" s="268" t="s">
        <v>94</v>
      </c>
      <c r="G1354" s="271">
        <f>210.1728-210.1728</f>
        <v>0</v>
      </c>
      <c r="H1354" s="271">
        <f>210.1728-210.1728</f>
        <v>0</v>
      </c>
      <c r="I1354" s="337" t="e">
        <f t="shared" si="131"/>
        <v>#DIV/0!</v>
      </c>
      <c r="J1354" s="285"/>
    </row>
    <row r="1355" spans="1:10" ht="15.75" hidden="1" x14ac:dyDescent="0.25">
      <c r="A1355" s="335" t="s">
        <v>711</v>
      </c>
      <c r="B1355" s="482">
        <v>908</v>
      </c>
      <c r="C1355" s="268" t="s">
        <v>129</v>
      </c>
      <c r="D1355" s="268" t="s">
        <v>129</v>
      </c>
      <c r="E1355" s="268" t="s">
        <v>415</v>
      </c>
      <c r="F1355" s="268" t="s">
        <v>712</v>
      </c>
      <c r="G1355" s="271">
        <f>240-240</f>
        <v>0</v>
      </c>
      <c r="H1355" s="271">
        <f>240-240</f>
        <v>0</v>
      </c>
      <c r="I1355" s="337" t="e">
        <f t="shared" si="131"/>
        <v>#DIV/0!</v>
      </c>
    </row>
    <row r="1356" spans="1:10" ht="37.5" hidden="1" customHeight="1" x14ac:dyDescent="0.25">
      <c r="A1356" s="335" t="s">
        <v>717</v>
      </c>
      <c r="B1356" s="482">
        <v>908</v>
      </c>
      <c r="C1356" s="268" t="s">
        <v>129</v>
      </c>
      <c r="D1356" s="268" t="s">
        <v>129</v>
      </c>
      <c r="E1356" s="268" t="s">
        <v>718</v>
      </c>
      <c r="F1356" s="268"/>
      <c r="G1356" s="271">
        <f>G1357+G1359</f>
        <v>0</v>
      </c>
      <c r="H1356" s="271">
        <f>H1357+H1359</f>
        <v>0</v>
      </c>
      <c r="I1356" s="337" t="e">
        <f t="shared" ref="I1356:I1419" si="134">H1356/G1356*100</f>
        <v>#DIV/0!</v>
      </c>
    </row>
    <row r="1357" spans="1:10" ht="21.75" hidden="1" customHeight="1" x14ac:dyDescent="0.25">
      <c r="A1357" s="335" t="s">
        <v>719</v>
      </c>
      <c r="B1357" s="482">
        <v>908</v>
      </c>
      <c r="C1357" s="268" t="s">
        <v>129</v>
      </c>
      <c r="D1357" s="268" t="s">
        <v>129</v>
      </c>
      <c r="E1357" s="268" t="s">
        <v>718</v>
      </c>
      <c r="F1357" s="268" t="s">
        <v>302</v>
      </c>
      <c r="G1357" s="271">
        <f>G1358</f>
        <v>0</v>
      </c>
      <c r="H1357" s="271">
        <f>H1358</f>
        <v>0</v>
      </c>
      <c r="I1357" s="337" t="e">
        <f t="shared" si="134"/>
        <v>#DIV/0!</v>
      </c>
    </row>
    <row r="1358" spans="1:10" ht="35.25" hidden="1" customHeight="1" x14ac:dyDescent="0.25">
      <c r="A1358" s="335" t="s">
        <v>303</v>
      </c>
      <c r="B1358" s="482">
        <v>908</v>
      </c>
      <c r="C1358" s="268" t="s">
        <v>129</v>
      </c>
      <c r="D1358" s="268" t="s">
        <v>129</v>
      </c>
      <c r="E1358" s="268" t="s">
        <v>718</v>
      </c>
      <c r="F1358" s="268" t="s">
        <v>720</v>
      </c>
      <c r="G1358" s="271"/>
      <c r="H1358" s="271"/>
      <c r="I1358" s="337" t="e">
        <f t="shared" si="134"/>
        <v>#DIV/0!</v>
      </c>
      <c r="J1358" s="291"/>
    </row>
    <row r="1359" spans="1:10" ht="21.75" hidden="1" customHeight="1" x14ac:dyDescent="0.25">
      <c r="A1359" s="335" t="s">
        <v>92</v>
      </c>
      <c r="B1359" s="482">
        <v>908</v>
      </c>
      <c r="C1359" s="268" t="s">
        <v>129</v>
      </c>
      <c r="D1359" s="268" t="s">
        <v>129</v>
      </c>
      <c r="E1359" s="268" t="s">
        <v>718</v>
      </c>
      <c r="F1359" s="268" t="s">
        <v>98</v>
      </c>
      <c r="G1359" s="271">
        <f>G1360</f>
        <v>0</v>
      </c>
      <c r="H1359" s="271">
        <f>H1360</f>
        <v>0</v>
      </c>
      <c r="I1359" s="337" t="e">
        <f t="shared" si="134"/>
        <v>#DIV/0!</v>
      </c>
      <c r="J1359" s="291"/>
    </row>
    <row r="1360" spans="1:10" ht="39.75" hidden="1" customHeight="1" x14ac:dyDescent="0.25">
      <c r="A1360" s="335" t="s">
        <v>110</v>
      </c>
      <c r="B1360" s="482">
        <v>908</v>
      </c>
      <c r="C1360" s="268" t="s">
        <v>129</v>
      </c>
      <c r="D1360" s="268" t="s">
        <v>129</v>
      </c>
      <c r="E1360" s="268" t="s">
        <v>718</v>
      </c>
      <c r="F1360" s="268" t="s">
        <v>105</v>
      </c>
      <c r="G1360" s="271"/>
      <c r="H1360" s="271"/>
      <c r="I1360" s="337" t="e">
        <f t="shared" si="134"/>
        <v>#DIV/0!</v>
      </c>
      <c r="J1360" s="291"/>
    </row>
    <row r="1361" spans="1:9" ht="47.25" hidden="1" x14ac:dyDescent="0.25">
      <c r="A1361" s="22" t="s">
        <v>894</v>
      </c>
      <c r="B1361" s="432">
        <v>908</v>
      </c>
      <c r="C1361" s="481" t="s">
        <v>129</v>
      </c>
      <c r="D1361" s="481" t="s">
        <v>129</v>
      </c>
      <c r="E1361" s="481" t="s">
        <v>162</v>
      </c>
      <c r="F1361" s="481"/>
      <c r="G1361" s="338">
        <f t="shared" ref="G1361:H1364" si="135">G1362</f>
        <v>0</v>
      </c>
      <c r="H1361" s="338">
        <f t="shared" si="135"/>
        <v>0</v>
      </c>
      <c r="I1361" s="337" t="e">
        <f t="shared" si="134"/>
        <v>#DIV/0!</v>
      </c>
    </row>
    <row r="1362" spans="1:9" ht="47.25" hidden="1" x14ac:dyDescent="0.25">
      <c r="A1362" s="22" t="s">
        <v>437</v>
      </c>
      <c r="B1362" s="432">
        <v>908</v>
      </c>
      <c r="C1362" s="481" t="s">
        <v>129</v>
      </c>
      <c r="D1362" s="481" t="s">
        <v>129</v>
      </c>
      <c r="E1362" s="481" t="s">
        <v>372</v>
      </c>
      <c r="F1362" s="481"/>
      <c r="G1362" s="338">
        <f t="shared" si="135"/>
        <v>0</v>
      </c>
      <c r="H1362" s="338">
        <f t="shared" si="135"/>
        <v>0</v>
      </c>
      <c r="I1362" s="337" t="e">
        <f t="shared" si="134"/>
        <v>#DIV/0!</v>
      </c>
    </row>
    <row r="1363" spans="1:9" ht="47.25" hidden="1" x14ac:dyDescent="0.25">
      <c r="A1363" s="20" t="s">
        <v>493</v>
      </c>
      <c r="B1363" s="482">
        <v>908</v>
      </c>
      <c r="C1363" s="268" t="s">
        <v>129</v>
      </c>
      <c r="D1363" s="268" t="s">
        <v>129</v>
      </c>
      <c r="E1363" s="268" t="s">
        <v>453</v>
      </c>
      <c r="F1363" s="268"/>
      <c r="G1363" s="337">
        <f t="shared" si="135"/>
        <v>0</v>
      </c>
      <c r="H1363" s="337">
        <f t="shared" si="135"/>
        <v>0</v>
      </c>
      <c r="I1363" s="337" t="e">
        <f t="shared" si="134"/>
        <v>#DIV/0!</v>
      </c>
    </row>
    <row r="1364" spans="1:9" ht="31.5" hidden="1" x14ac:dyDescent="0.25">
      <c r="A1364" s="335" t="s">
        <v>88</v>
      </c>
      <c r="B1364" s="482">
        <v>908</v>
      </c>
      <c r="C1364" s="268" t="s">
        <v>129</v>
      </c>
      <c r="D1364" s="268" t="s">
        <v>129</v>
      </c>
      <c r="E1364" s="268" t="s">
        <v>453</v>
      </c>
      <c r="F1364" s="268" t="s">
        <v>89</v>
      </c>
      <c r="G1364" s="337">
        <f t="shared" si="135"/>
        <v>0</v>
      </c>
      <c r="H1364" s="337">
        <f t="shared" si="135"/>
        <v>0</v>
      </c>
      <c r="I1364" s="337" t="e">
        <f t="shared" si="134"/>
        <v>#DIV/0!</v>
      </c>
    </row>
    <row r="1365" spans="1:9" ht="31.5" hidden="1" x14ac:dyDescent="0.25">
      <c r="A1365" s="335" t="s">
        <v>90</v>
      </c>
      <c r="B1365" s="482">
        <v>908</v>
      </c>
      <c r="C1365" s="268" t="s">
        <v>129</v>
      </c>
      <c r="D1365" s="268" t="s">
        <v>129</v>
      </c>
      <c r="E1365" s="268" t="s">
        <v>453</v>
      </c>
      <c r="F1365" s="268" t="s">
        <v>91</v>
      </c>
      <c r="G1365" s="337"/>
      <c r="H1365" s="337"/>
      <c r="I1365" s="337" t="e">
        <f t="shared" si="134"/>
        <v>#DIV/0!</v>
      </c>
    </row>
    <row r="1366" spans="1:9" ht="31.5" x14ac:dyDescent="0.25">
      <c r="A1366" s="335" t="s">
        <v>851</v>
      </c>
      <c r="B1366" s="482">
        <v>908</v>
      </c>
      <c r="C1366" s="268" t="s">
        <v>129</v>
      </c>
      <c r="D1366" s="268" t="s">
        <v>129</v>
      </c>
      <c r="E1366" s="268" t="s">
        <v>838</v>
      </c>
      <c r="F1366" s="268"/>
      <c r="G1366" s="337">
        <f>G1367</f>
        <v>10.172799999999995</v>
      </c>
      <c r="H1366" s="337">
        <f>H1367</f>
        <v>10.172800000000001</v>
      </c>
      <c r="I1366" s="337">
        <f t="shared" si="134"/>
        <v>100.00000000000004</v>
      </c>
    </row>
    <row r="1367" spans="1:9" ht="15.75" x14ac:dyDescent="0.25">
      <c r="A1367" s="335" t="s">
        <v>92</v>
      </c>
      <c r="B1367" s="482">
        <v>908</v>
      </c>
      <c r="C1367" s="268" t="s">
        <v>129</v>
      </c>
      <c r="D1367" s="268" t="s">
        <v>129</v>
      </c>
      <c r="E1367" s="268" t="s">
        <v>838</v>
      </c>
      <c r="F1367" s="268" t="s">
        <v>98</v>
      </c>
      <c r="G1367" s="337">
        <f>G1368</f>
        <v>10.172799999999995</v>
      </c>
      <c r="H1367" s="337">
        <f>H1368</f>
        <v>10.172800000000001</v>
      </c>
      <c r="I1367" s="337">
        <f t="shared" si="134"/>
        <v>100.00000000000004</v>
      </c>
    </row>
    <row r="1368" spans="1:9" ht="15.75" x14ac:dyDescent="0.25">
      <c r="A1368" s="335" t="s">
        <v>223</v>
      </c>
      <c r="B1368" s="482">
        <v>908</v>
      </c>
      <c r="C1368" s="268" t="s">
        <v>129</v>
      </c>
      <c r="D1368" s="268" t="s">
        <v>129</v>
      </c>
      <c r="E1368" s="268" t="s">
        <v>838</v>
      </c>
      <c r="F1368" s="268" t="s">
        <v>94</v>
      </c>
      <c r="G1368" s="337">
        <f>210.1728-200</f>
        <v>10.172799999999995</v>
      </c>
      <c r="H1368" s="337">
        <v>10.172800000000001</v>
      </c>
      <c r="I1368" s="337">
        <f t="shared" si="134"/>
        <v>100.00000000000004</v>
      </c>
    </row>
    <row r="1369" spans="1:9" ht="45" customHeight="1" x14ac:dyDescent="0.25">
      <c r="A1369" s="335" t="s">
        <v>1070</v>
      </c>
      <c r="B1369" s="482">
        <v>908</v>
      </c>
      <c r="C1369" s="268" t="s">
        <v>129</v>
      </c>
      <c r="D1369" s="268" t="s">
        <v>129</v>
      </c>
      <c r="E1369" s="268" t="s">
        <v>1071</v>
      </c>
      <c r="F1369" s="268"/>
      <c r="G1369" s="337">
        <f>G1370</f>
        <v>200</v>
      </c>
      <c r="H1369" s="337">
        <f>H1370</f>
        <v>200</v>
      </c>
      <c r="I1369" s="337">
        <f t="shared" si="134"/>
        <v>100</v>
      </c>
    </row>
    <row r="1370" spans="1:9" ht="15.75" x14ac:dyDescent="0.25">
      <c r="A1370" s="335" t="s">
        <v>92</v>
      </c>
      <c r="B1370" s="482">
        <v>908</v>
      </c>
      <c r="C1370" s="268" t="s">
        <v>129</v>
      </c>
      <c r="D1370" s="268" t="s">
        <v>129</v>
      </c>
      <c r="E1370" s="268" t="s">
        <v>1071</v>
      </c>
      <c r="F1370" s="268" t="s">
        <v>98</v>
      </c>
      <c r="G1370" s="337">
        <f>G1371</f>
        <v>200</v>
      </c>
      <c r="H1370" s="337">
        <f>H1371</f>
        <v>200</v>
      </c>
      <c r="I1370" s="337">
        <f t="shared" si="134"/>
        <v>100</v>
      </c>
    </row>
    <row r="1371" spans="1:9" ht="15.75" x14ac:dyDescent="0.25">
      <c r="A1371" s="335" t="s">
        <v>223</v>
      </c>
      <c r="B1371" s="482">
        <v>908</v>
      </c>
      <c r="C1371" s="268" t="s">
        <v>129</v>
      </c>
      <c r="D1371" s="268" t="s">
        <v>129</v>
      </c>
      <c r="E1371" s="268" t="s">
        <v>1071</v>
      </c>
      <c r="F1371" s="268" t="s">
        <v>94</v>
      </c>
      <c r="G1371" s="337">
        <v>200</v>
      </c>
      <c r="H1371" s="337">
        <v>200</v>
      </c>
      <c r="I1371" s="337">
        <f t="shared" si="134"/>
        <v>100</v>
      </c>
    </row>
    <row r="1372" spans="1:9" ht="15.75" hidden="1" x14ac:dyDescent="0.25">
      <c r="A1372" s="116" t="s">
        <v>832</v>
      </c>
      <c r="B1372" s="432">
        <v>908</v>
      </c>
      <c r="C1372" s="481" t="s">
        <v>83</v>
      </c>
      <c r="D1372" s="481"/>
      <c r="E1372" s="481"/>
      <c r="F1372" s="481"/>
      <c r="G1372" s="338">
        <f t="shared" ref="G1372:H1374" si="136">G1373</f>
        <v>0</v>
      </c>
      <c r="H1372" s="338">
        <f t="shared" si="136"/>
        <v>0</v>
      </c>
      <c r="I1372" s="337" t="e">
        <f t="shared" si="134"/>
        <v>#DIV/0!</v>
      </c>
    </row>
    <row r="1373" spans="1:9" ht="16.149999999999999" hidden="1" customHeight="1" x14ac:dyDescent="0.25">
      <c r="A1373" s="116" t="s">
        <v>833</v>
      </c>
      <c r="B1373" s="432">
        <v>908</v>
      </c>
      <c r="C1373" s="481" t="s">
        <v>83</v>
      </c>
      <c r="D1373" s="481" t="s">
        <v>129</v>
      </c>
      <c r="E1373" s="481"/>
      <c r="F1373" s="481"/>
      <c r="G1373" s="338">
        <f t="shared" si="136"/>
        <v>0</v>
      </c>
      <c r="H1373" s="338">
        <f t="shared" si="136"/>
        <v>0</v>
      </c>
      <c r="I1373" s="337" t="e">
        <f t="shared" si="134"/>
        <v>#DIV/0!</v>
      </c>
    </row>
    <row r="1374" spans="1:9" ht="47.25" hidden="1" x14ac:dyDescent="0.25">
      <c r="A1374" s="116" t="s">
        <v>1041</v>
      </c>
      <c r="B1374" s="432">
        <v>908</v>
      </c>
      <c r="C1374" s="481" t="s">
        <v>83</v>
      </c>
      <c r="D1374" s="481" t="s">
        <v>129</v>
      </c>
      <c r="E1374" s="481" t="s">
        <v>835</v>
      </c>
      <c r="F1374" s="481"/>
      <c r="G1374" s="338">
        <f t="shared" si="136"/>
        <v>0</v>
      </c>
      <c r="H1374" s="338">
        <f t="shared" si="136"/>
        <v>0</v>
      </c>
      <c r="I1374" s="337" t="e">
        <f t="shared" si="134"/>
        <v>#DIV/0!</v>
      </c>
    </row>
    <row r="1375" spans="1:9" ht="31.5" hidden="1" x14ac:dyDescent="0.25">
      <c r="A1375" s="22" t="s">
        <v>1042</v>
      </c>
      <c r="B1375" s="432">
        <v>908</v>
      </c>
      <c r="C1375" s="481" t="s">
        <v>83</v>
      </c>
      <c r="D1375" s="481" t="s">
        <v>129</v>
      </c>
      <c r="E1375" s="481" t="s">
        <v>836</v>
      </c>
      <c r="F1375" s="481"/>
      <c r="G1375" s="338">
        <f t="shared" ref="G1375:H1377" si="137">G1376</f>
        <v>0</v>
      </c>
      <c r="H1375" s="338">
        <f t="shared" si="137"/>
        <v>0</v>
      </c>
      <c r="I1375" s="337" t="e">
        <f t="shared" si="134"/>
        <v>#DIV/0!</v>
      </c>
    </row>
    <row r="1376" spans="1:9" ht="31.5" hidden="1" x14ac:dyDescent="0.25">
      <c r="A1376" s="20" t="s">
        <v>818</v>
      </c>
      <c r="B1376" s="482">
        <v>908</v>
      </c>
      <c r="C1376" s="268" t="s">
        <v>83</v>
      </c>
      <c r="D1376" s="268" t="s">
        <v>129</v>
      </c>
      <c r="E1376" s="268" t="s">
        <v>837</v>
      </c>
      <c r="F1376" s="268"/>
      <c r="G1376" s="337">
        <f t="shared" si="137"/>
        <v>0</v>
      </c>
      <c r="H1376" s="337">
        <f t="shared" si="137"/>
        <v>0</v>
      </c>
      <c r="I1376" s="337" t="e">
        <f t="shared" si="134"/>
        <v>#DIV/0!</v>
      </c>
    </row>
    <row r="1377" spans="1:10" ht="31.5" hidden="1" x14ac:dyDescent="0.25">
      <c r="A1377" s="335" t="s">
        <v>88</v>
      </c>
      <c r="B1377" s="482">
        <v>908</v>
      </c>
      <c r="C1377" s="268" t="s">
        <v>83</v>
      </c>
      <c r="D1377" s="268" t="s">
        <v>129</v>
      </c>
      <c r="E1377" s="268" t="s">
        <v>837</v>
      </c>
      <c r="F1377" s="268" t="s">
        <v>89</v>
      </c>
      <c r="G1377" s="337">
        <f t="shared" si="137"/>
        <v>0</v>
      </c>
      <c r="H1377" s="337">
        <f t="shared" si="137"/>
        <v>0</v>
      </c>
      <c r="I1377" s="337" t="e">
        <f t="shared" si="134"/>
        <v>#DIV/0!</v>
      </c>
    </row>
    <row r="1378" spans="1:10" ht="31.5" hidden="1" x14ac:dyDescent="0.25">
      <c r="A1378" s="335" t="s">
        <v>90</v>
      </c>
      <c r="B1378" s="482">
        <v>908</v>
      </c>
      <c r="C1378" s="268" t="s">
        <v>83</v>
      </c>
      <c r="D1378" s="268" t="s">
        <v>129</v>
      </c>
      <c r="E1378" s="268" t="s">
        <v>837</v>
      </c>
      <c r="F1378" s="268" t="s">
        <v>91</v>
      </c>
      <c r="G1378" s="337">
        <f>611.8+247.4-859.2</f>
        <v>0</v>
      </c>
      <c r="H1378" s="337">
        <f>611.8+247.4-859.2</f>
        <v>0</v>
      </c>
      <c r="I1378" s="337" t="e">
        <f t="shared" si="134"/>
        <v>#DIV/0!</v>
      </c>
      <c r="J1378" s="292"/>
    </row>
    <row r="1379" spans="1:10" ht="15.75" x14ac:dyDescent="0.25">
      <c r="A1379" s="116" t="s">
        <v>1009</v>
      </c>
      <c r="B1379" s="432">
        <v>908</v>
      </c>
      <c r="C1379" s="481" t="s">
        <v>145</v>
      </c>
      <c r="D1379" s="481" t="s">
        <v>145</v>
      </c>
      <c r="E1379" s="268"/>
      <c r="F1379" s="268"/>
      <c r="G1379" s="338">
        <f t="shared" ref="G1379:H1384" si="138">G1380</f>
        <v>21.398849999999996</v>
      </c>
      <c r="H1379" s="338">
        <f t="shared" si="138"/>
        <v>21.398849999999999</v>
      </c>
      <c r="I1379" s="338">
        <f t="shared" si="134"/>
        <v>100.00000000000003</v>
      </c>
      <c r="J1379" s="330"/>
    </row>
    <row r="1380" spans="1:10" ht="47.25" x14ac:dyDescent="0.25">
      <c r="A1380" s="116" t="s">
        <v>882</v>
      </c>
      <c r="B1380" s="432">
        <v>908</v>
      </c>
      <c r="C1380" s="481" t="s">
        <v>145</v>
      </c>
      <c r="D1380" s="481" t="s">
        <v>145</v>
      </c>
      <c r="E1380" s="481" t="s">
        <v>169</v>
      </c>
      <c r="F1380" s="481"/>
      <c r="G1380" s="338">
        <f t="shared" si="138"/>
        <v>21.398849999999996</v>
      </c>
      <c r="H1380" s="338">
        <f t="shared" si="138"/>
        <v>21.398849999999999</v>
      </c>
      <c r="I1380" s="338">
        <f t="shared" si="134"/>
        <v>100.00000000000003</v>
      </c>
      <c r="J1380" s="330"/>
    </row>
    <row r="1381" spans="1:10" ht="31.5" x14ac:dyDescent="0.25">
      <c r="A1381" s="116" t="s">
        <v>170</v>
      </c>
      <c r="B1381" s="432">
        <v>908</v>
      </c>
      <c r="C1381" s="481" t="s">
        <v>145</v>
      </c>
      <c r="D1381" s="481" t="s">
        <v>145</v>
      </c>
      <c r="E1381" s="481" t="s">
        <v>171</v>
      </c>
      <c r="F1381" s="481"/>
      <c r="G1381" s="338">
        <f t="shared" si="138"/>
        <v>21.398849999999996</v>
      </c>
      <c r="H1381" s="338">
        <f t="shared" si="138"/>
        <v>21.398849999999999</v>
      </c>
      <c r="I1381" s="338">
        <f t="shared" si="134"/>
        <v>100.00000000000003</v>
      </c>
      <c r="J1381" s="330"/>
    </row>
    <row r="1382" spans="1:10" ht="47.25" x14ac:dyDescent="0.25">
      <c r="A1382" s="30" t="s">
        <v>454</v>
      </c>
      <c r="B1382" s="432">
        <v>908</v>
      </c>
      <c r="C1382" s="481" t="s">
        <v>145</v>
      </c>
      <c r="D1382" s="481" t="s">
        <v>145</v>
      </c>
      <c r="E1382" s="481" t="s">
        <v>343</v>
      </c>
      <c r="F1382" s="481"/>
      <c r="G1382" s="338">
        <f t="shared" si="138"/>
        <v>21.398849999999996</v>
      </c>
      <c r="H1382" s="338">
        <f t="shared" si="138"/>
        <v>21.398849999999999</v>
      </c>
      <c r="I1382" s="338">
        <f t="shared" si="134"/>
        <v>100.00000000000003</v>
      </c>
      <c r="J1382" s="330"/>
    </row>
    <row r="1383" spans="1:10" ht="31.5" x14ac:dyDescent="0.25">
      <c r="A1383" s="335" t="s">
        <v>460</v>
      </c>
      <c r="B1383" s="482">
        <v>908</v>
      </c>
      <c r="C1383" s="268" t="s">
        <v>145</v>
      </c>
      <c r="D1383" s="268" t="s">
        <v>145</v>
      </c>
      <c r="E1383" s="268" t="s">
        <v>344</v>
      </c>
      <c r="F1383" s="268"/>
      <c r="G1383" s="337">
        <f t="shared" si="138"/>
        <v>21.398849999999996</v>
      </c>
      <c r="H1383" s="337">
        <f t="shared" si="138"/>
        <v>21.398849999999999</v>
      </c>
      <c r="I1383" s="337">
        <f t="shared" si="134"/>
        <v>100.00000000000003</v>
      </c>
      <c r="J1383" s="330"/>
    </row>
    <row r="1384" spans="1:10" ht="78.75" x14ac:dyDescent="0.25">
      <c r="A1384" s="335" t="s">
        <v>84</v>
      </c>
      <c r="B1384" s="482">
        <v>908</v>
      </c>
      <c r="C1384" s="268" t="s">
        <v>145</v>
      </c>
      <c r="D1384" s="268" t="s">
        <v>145</v>
      </c>
      <c r="E1384" s="268" t="s">
        <v>344</v>
      </c>
      <c r="F1384" s="268" t="s">
        <v>85</v>
      </c>
      <c r="G1384" s="337">
        <f t="shared" si="138"/>
        <v>21.398849999999996</v>
      </c>
      <c r="H1384" s="337">
        <f t="shared" si="138"/>
        <v>21.398849999999999</v>
      </c>
      <c r="I1384" s="337">
        <f t="shared" si="134"/>
        <v>100.00000000000003</v>
      </c>
      <c r="J1384" s="330"/>
    </row>
    <row r="1385" spans="1:10" ht="15.75" x14ac:dyDescent="0.25">
      <c r="A1385" s="336" t="s">
        <v>168</v>
      </c>
      <c r="B1385" s="482">
        <v>908</v>
      </c>
      <c r="C1385" s="268" t="s">
        <v>145</v>
      </c>
      <c r="D1385" s="268" t="s">
        <v>145</v>
      </c>
      <c r="E1385" s="268" t="s">
        <v>344</v>
      </c>
      <c r="F1385" s="268" t="s">
        <v>117</v>
      </c>
      <c r="G1385" s="337">
        <f>52.8671+0.0006-24.16963-7.29922</f>
        <v>21.398849999999996</v>
      </c>
      <c r="H1385" s="337">
        <v>21.398849999999999</v>
      </c>
      <c r="I1385" s="337">
        <f t="shared" si="134"/>
        <v>100.00000000000003</v>
      </c>
    </row>
    <row r="1386" spans="1:10" ht="15.75" hidden="1" x14ac:dyDescent="0.25">
      <c r="A1386" s="116" t="s">
        <v>133</v>
      </c>
      <c r="B1386" s="432">
        <v>908</v>
      </c>
      <c r="C1386" s="481" t="s">
        <v>134</v>
      </c>
      <c r="D1386" s="481"/>
      <c r="E1386" s="481"/>
      <c r="F1386" s="481"/>
      <c r="G1386" s="338">
        <f>G1387</f>
        <v>0</v>
      </c>
      <c r="H1386" s="338">
        <f>H1387</f>
        <v>0</v>
      </c>
      <c r="I1386" s="337" t="e">
        <f t="shared" si="134"/>
        <v>#DIV/0!</v>
      </c>
    </row>
    <row r="1387" spans="1:10" ht="15.75" hidden="1" x14ac:dyDescent="0.25">
      <c r="A1387" s="116" t="s">
        <v>142</v>
      </c>
      <c r="B1387" s="432">
        <v>908</v>
      </c>
      <c r="C1387" s="481" t="s">
        <v>134</v>
      </c>
      <c r="D1387" s="481" t="s">
        <v>83</v>
      </c>
      <c r="E1387" s="481"/>
      <c r="F1387" s="481"/>
      <c r="G1387" s="338">
        <f t="shared" ref="G1387:H1387" si="139">G1388</f>
        <v>0</v>
      </c>
      <c r="H1387" s="338">
        <f t="shared" si="139"/>
        <v>0</v>
      </c>
      <c r="I1387" s="337" t="e">
        <f t="shared" si="134"/>
        <v>#DIV/0!</v>
      </c>
    </row>
    <row r="1388" spans="1:10" ht="15.75" hidden="1" x14ac:dyDescent="0.25">
      <c r="A1388" s="116" t="s">
        <v>97</v>
      </c>
      <c r="B1388" s="432">
        <v>908</v>
      </c>
      <c r="C1388" s="481" t="s">
        <v>134</v>
      </c>
      <c r="D1388" s="481" t="s">
        <v>83</v>
      </c>
      <c r="E1388" s="481" t="s">
        <v>329</v>
      </c>
      <c r="F1388" s="481"/>
      <c r="G1388" s="338">
        <f t="shared" ref="G1388:H1392" si="140">G1389</f>
        <v>0</v>
      </c>
      <c r="H1388" s="338">
        <f t="shared" si="140"/>
        <v>0</v>
      </c>
      <c r="I1388" s="337" t="e">
        <f t="shared" si="134"/>
        <v>#DIV/0!</v>
      </c>
    </row>
    <row r="1389" spans="1:10" ht="15.75" hidden="1" x14ac:dyDescent="0.25">
      <c r="A1389" s="116" t="s">
        <v>97</v>
      </c>
      <c r="B1389" s="432">
        <v>908</v>
      </c>
      <c r="C1389" s="481" t="s">
        <v>134</v>
      </c>
      <c r="D1389" s="481" t="s">
        <v>83</v>
      </c>
      <c r="E1389" s="481" t="s">
        <v>328</v>
      </c>
      <c r="F1389" s="481"/>
      <c r="G1389" s="338">
        <f t="shared" si="140"/>
        <v>0</v>
      </c>
      <c r="H1389" s="338">
        <f t="shared" si="140"/>
        <v>0</v>
      </c>
      <c r="I1389" s="337" t="e">
        <f t="shared" si="134"/>
        <v>#DIV/0!</v>
      </c>
    </row>
    <row r="1390" spans="1:10" ht="31.5" hidden="1" x14ac:dyDescent="0.25">
      <c r="A1390" s="116" t="s">
        <v>330</v>
      </c>
      <c r="B1390" s="432">
        <v>908</v>
      </c>
      <c r="C1390" s="481" t="s">
        <v>134</v>
      </c>
      <c r="D1390" s="481" t="s">
        <v>83</v>
      </c>
      <c r="E1390" s="481" t="s">
        <v>328</v>
      </c>
      <c r="F1390" s="481"/>
      <c r="G1390" s="338">
        <f t="shared" si="140"/>
        <v>0</v>
      </c>
      <c r="H1390" s="338">
        <f t="shared" si="140"/>
        <v>0</v>
      </c>
      <c r="I1390" s="337" t="e">
        <f t="shared" si="134"/>
        <v>#DIV/0!</v>
      </c>
    </row>
    <row r="1391" spans="1:10" ht="15.75" hidden="1" x14ac:dyDescent="0.25">
      <c r="A1391" s="335" t="s">
        <v>226</v>
      </c>
      <c r="B1391" s="482">
        <v>908</v>
      </c>
      <c r="C1391" s="268" t="s">
        <v>134</v>
      </c>
      <c r="D1391" s="268" t="s">
        <v>83</v>
      </c>
      <c r="E1391" s="268" t="s">
        <v>416</v>
      </c>
      <c r="F1391" s="268"/>
      <c r="G1391" s="337">
        <f t="shared" si="140"/>
        <v>0</v>
      </c>
      <c r="H1391" s="337">
        <f t="shared" si="140"/>
        <v>0</v>
      </c>
      <c r="I1391" s="337" t="e">
        <f t="shared" si="134"/>
        <v>#DIV/0!</v>
      </c>
    </row>
    <row r="1392" spans="1:10" ht="31.5" hidden="1" x14ac:dyDescent="0.25">
      <c r="A1392" s="335" t="s">
        <v>88</v>
      </c>
      <c r="B1392" s="482">
        <v>908</v>
      </c>
      <c r="C1392" s="268" t="s">
        <v>134</v>
      </c>
      <c r="D1392" s="268" t="s">
        <v>83</v>
      </c>
      <c r="E1392" s="268" t="s">
        <v>416</v>
      </c>
      <c r="F1392" s="268" t="s">
        <v>89</v>
      </c>
      <c r="G1392" s="337">
        <f t="shared" si="140"/>
        <v>0</v>
      </c>
      <c r="H1392" s="337">
        <f t="shared" si="140"/>
        <v>0</v>
      </c>
      <c r="I1392" s="337" t="e">
        <f t="shared" si="134"/>
        <v>#DIV/0!</v>
      </c>
    </row>
    <row r="1393" spans="1:10" ht="31.5" hidden="1" x14ac:dyDescent="0.25">
      <c r="A1393" s="335" t="s">
        <v>90</v>
      </c>
      <c r="B1393" s="482">
        <v>908</v>
      </c>
      <c r="C1393" s="268" t="s">
        <v>134</v>
      </c>
      <c r="D1393" s="268" t="s">
        <v>83</v>
      </c>
      <c r="E1393" s="268" t="s">
        <v>416</v>
      </c>
      <c r="F1393" s="268" t="s">
        <v>91</v>
      </c>
      <c r="G1393" s="337">
        <f>35.1-10-25.1+25.1-25.1</f>
        <v>0</v>
      </c>
      <c r="H1393" s="337">
        <f>35.1-10-25.1+25.1-25.1</f>
        <v>0</v>
      </c>
      <c r="I1393" s="337" t="e">
        <f t="shared" si="134"/>
        <v>#DIV/0!</v>
      </c>
    </row>
    <row r="1394" spans="1:10" ht="33.950000000000003" customHeight="1" x14ac:dyDescent="0.25">
      <c r="A1394" s="115" t="s">
        <v>1004</v>
      </c>
      <c r="B1394" s="432">
        <v>910</v>
      </c>
      <c r="C1394" s="494"/>
      <c r="D1394" s="494"/>
      <c r="E1394" s="494"/>
      <c r="F1394" s="494"/>
      <c r="G1394" s="338">
        <f t="shared" ref="G1394:H1397" si="141">G1395</f>
        <v>8428.4557799999984</v>
      </c>
      <c r="H1394" s="338">
        <f t="shared" si="141"/>
        <v>8425.5451899999989</v>
      </c>
      <c r="I1394" s="338">
        <f t="shared" si="134"/>
        <v>99.96546710244472</v>
      </c>
      <c r="J1394" s="281"/>
    </row>
    <row r="1395" spans="1:10" ht="15.75" x14ac:dyDescent="0.25">
      <c r="A1395" s="116" t="s">
        <v>80</v>
      </c>
      <c r="B1395" s="432">
        <v>910</v>
      </c>
      <c r="C1395" s="481" t="s">
        <v>81</v>
      </c>
      <c r="D1395" s="481"/>
      <c r="E1395" s="481"/>
      <c r="F1395" s="481"/>
      <c r="G1395" s="338">
        <f t="shared" si="141"/>
        <v>8428.4557799999984</v>
      </c>
      <c r="H1395" s="338">
        <f t="shared" si="141"/>
        <v>8425.5451899999989</v>
      </c>
      <c r="I1395" s="338">
        <f t="shared" si="134"/>
        <v>99.96546710244472</v>
      </c>
    </row>
    <row r="1396" spans="1:10" ht="63" x14ac:dyDescent="0.25">
      <c r="A1396" s="116" t="s">
        <v>229</v>
      </c>
      <c r="B1396" s="432">
        <v>910</v>
      </c>
      <c r="C1396" s="481" t="s">
        <v>81</v>
      </c>
      <c r="D1396" s="481" t="s">
        <v>120</v>
      </c>
      <c r="E1396" s="481"/>
      <c r="F1396" s="481"/>
      <c r="G1396" s="338">
        <f t="shared" si="141"/>
        <v>8428.4557799999984</v>
      </c>
      <c r="H1396" s="338">
        <f t="shared" si="141"/>
        <v>8425.5451899999989</v>
      </c>
      <c r="I1396" s="338">
        <f t="shared" si="134"/>
        <v>99.96546710244472</v>
      </c>
    </row>
    <row r="1397" spans="1:10" ht="31.5" x14ac:dyDescent="0.25">
      <c r="A1397" s="116" t="s">
        <v>362</v>
      </c>
      <c r="B1397" s="432">
        <v>910</v>
      </c>
      <c r="C1397" s="481" t="s">
        <v>81</v>
      </c>
      <c r="D1397" s="481" t="s">
        <v>120</v>
      </c>
      <c r="E1397" s="481" t="s">
        <v>321</v>
      </c>
      <c r="F1397" s="481"/>
      <c r="G1397" s="338">
        <f t="shared" si="141"/>
        <v>8428.4557799999984</v>
      </c>
      <c r="H1397" s="338">
        <f t="shared" si="141"/>
        <v>8425.5451899999989</v>
      </c>
      <c r="I1397" s="338">
        <f t="shared" si="134"/>
        <v>99.96546710244472</v>
      </c>
    </row>
    <row r="1398" spans="1:10" ht="15.75" x14ac:dyDescent="0.25">
      <c r="A1398" s="116" t="s">
        <v>417</v>
      </c>
      <c r="B1398" s="432">
        <v>910</v>
      </c>
      <c r="C1398" s="481" t="s">
        <v>81</v>
      </c>
      <c r="D1398" s="481" t="s">
        <v>120</v>
      </c>
      <c r="E1398" s="481" t="s">
        <v>418</v>
      </c>
      <c r="F1398" s="481"/>
      <c r="G1398" s="338">
        <f>G1406+G1411+G1399+G1414+G1417</f>
        <v>8428.4557799999984</v>
      </c>
      <c r="H1398" s="338">
        <f>H1406+H1411+H1399+H1414+H1417</f>
        <v>8425.5451899999989</v>
      </c>
      <c r="I1398" s="338">
        <f t="shared" si="134"/>
        <v>99.96546710244472</v>
      </c>
    </row>
    <row r="1399" spans="1:10" ht="31.5" x14ac:dyDescent="0.25">
      <c r="A1399" s="319" t="s">
        <v>643</v>
      </c>
      <c r="B1399" s="482">
        <v>910</v>
      </c>
      <c r="C1399" s="268" t="s">
        <v>81</v>
      </c>
      <c r="D1399" s="268" t="s">
        <v>120</v>
      </c>
      <c r="E1399" s="268" t="s">
        <v>649</v>
      </c>
      <c r="F1399" s="481"/>
      <c r="G1399" s="337">
        <f>G1400+G1402+G1404</f>
        <v>6353.19</v>
      </c>
      <c r="H1399" s="337">
        <f>H1400+H1402+H1404</f>
        <v>6350.6651099999999</v>
      </c>
      <c r="I1399" s="337">
        <f t="shared" si="134"/>
        <v>99.960257917676003</v>
      </c>
    </row>
    <row r="1400" spans="1:10" ht="78.75" x14ac:dyDescent="0.25">
      <c r="A1400" s="335" t="s">
        <v>84</v>
      </c>
      <c r="B1400" s="482">
        <v>910</v>
      </c>
      <c r="C1400" s="268" t="s">
        <v>81</v>
      </c>
      <c r="D1400" s="268" t="s">
        <v>120</v>
      </c>
      <c r="E1400" s="268" t="s">
        <v>649</v>
      </c>
      <c r="F1400" s="268" t="s">
        <v>85</v>
      </c>
      <c r="G1400" s="337">
        <f>G1401</f>
        <v>6335.9299999999994</v>
      </c>
      <c r="H1400" s="337">
        <f>H1401</f>
        <v>6333.4051099999997</v>
      </c>
      <c r="I1400" s="337">
        <f t="shared" si="134"/>
        <v>99.960149654431163</v>
      </c>
    </row>
    <row r="1401" spans="1:10" ht="31.5" x14ac:dyDescent="0.25">
      <c r="A1401" s="335" t="s">
        <v>86</v>
      </c>
      <c r="B1401" s="482">
        <v>910</v>
      </c>
      <c r="C1401" s="268" t="s">
        <v>81</v>
      </c>
      <c r="D1401" s="268" t="s">
        <v>120</v>
      </c>
      <c r="E1401" s="268" t="s">
        <v>649</v>
      </c>
      <c r="F1401" s="268" t="s">
        <v>87</v>
      </c>
      <c r="G1401" s="337">
        <f>6138.24-0.25+3.15+6-26.26+26.35+86.94+26.26+48.5+27</f>
        <v>6335.9299999999994</v>
      </c>
      <c r="H1401" s="337">
        <v>6333.4051099999997</v>
      </c>
      <c r="I1401" s="337">
        <f t="shared" si="134"/>
        <v>99.960149654431163</v>
      </c>
      <c r="J1401" s="341"/>
    </row>
    <row r="1402" spans="1:10" ht="31.5" x14ac:dyDescent="0.25">
      <c r="A1402" s="335" t="s">
        <v>114</v>
      </c>
      <c r="B1402" s="482">
        <v>910</v>
      </c>
      <c r="C1402" s="268" t="s">
        <v>81</v>
      </c>
      <c r="D1402" s="268" t="s">
        <v>120</v>
      </c>
      <c r="E1402" s="268" t="s">
        <v>649</v>
      </c>
      <c r="F1402" s="268" t="s">
        <v>89</v>
      </c>
      <c r="G1402" s="337">
        <f>G1403</f>
        <v>17.010000000000005</v>
      </c>
      <c r="H1402" s="337">
        <f>H1403</f>
        <v>17.010000000000002</v>
      </c>
      <c r="I1402" s="337">
        <f t="shared" si="134"/>
        <v>99.999999999999972</v>
      </c>
    </row>
    <row r="1403" spans="1:10" ht="31.5" x14ac:dyDescent="0.25">
      <c r="A1403" s="335" t="s">
        <v>90</v>
      </c>
      <c r="B1403" s="482">
        <v>910</v>
      </c>
      <c r="C1403" s="268" t="s">
        <v>81</v>
      </c>
      <c r="D1403" s="268" t="s">
        <v>120</v>
      </c>
      <c r="E1403" s="268" t="s">
        <v>649</v>
      </c>
      <c r="F1403" s="268" t="s">
        <v>91</v>
      </c>
      <c r="G1403" s="337">
        <f>93-75.99</f>
        <v>17.010000000000005</v>
      </c>
      <c r="H1403" s="337">
        <v>17.010000000000002</v>
      </c>
      <c r="I1403" s="337">
        <f t="shared" si="134"/>
        <v>99.999999999999972</v>
      </c>
    </row>
    <row r="1404" spans="1:10" ht="30.75" customHeight="1" x14ac:dyDescent="0.25">
      <c r="A1404" s="335" t="s">
        <v>92</v>
      </c>
      <c r="B1404" s="482">
        <v>910</v>
      </c>
      <c r="C1404" s="268" t="s">
        <v>81</v>
      </c>
      <c r="D1404" s="268" t="s">
        <v>120</v>
      </c>
      <c r="E1404" s="268" t="s">
        <v>649</v>
      </c>
      <c r="F1404" s="268" t="s">
        <v>98</v>
      </c>
      <c r="G1404" s="337">
        <f>G1405</f>
        <v>0.25</v>
      </c>
      <c r="H1404" s="337">
        <f>H1405</f>
        <v>0.25</v>
      </c>
      <c r="I1404" s="337">
        <f t="shared" si="134"/>
        <v>100</v>
      </c>
    </row>
    <row r="1405" spans="1:10" ht="30.75" customHeight="1" x14ac:dyDescent="0.25">
      <c r="A1405" s="335" t="s">
        <v>223</v>
      </c>
      <c r="B1405" s="482">
        <v>910</v>
      </c>
      <c r="C1405" s="268" t="s">
        <v>81</v>
      </c>
      <c r="D1405" s="268" t="s">
        <v>120</v>
      </c>
      <c r="E1405" s="268" t="s">
        <v>649</v>
      </c>
      <c r="F1405" s="268" t="s">
        <v>94</v>
      </c>
      <c r="G1405" s="337">
        <v>0.25</v>
      </c>
      <c r="H1405" s="337">
        <v>0.25</v>
      </c>
      <c r="I1405" s="337">
        <f t="shared" si="134"/>
        <v>100</v>
      </c>
      <c r="J1405" s="331"/>
    </row>
    <row r="1406" spans="1:10" ht="37.35" customHeight="1" x14ac:dyDescent="0.25">
      <c r="A1406" s="335" t="s">
        <v>420</v>
      </c>
      <c r="B1406" s="482">
        <v>910</v>
      </c>
      <c r="C1406" s="268" t="s">
        <v>81</v>
      </c>
      <c r="D1406" s="268" t="s">
        <v>120</v>
      </c>
      <c r="E1406" s="268" t="s">
        <v>421</v>
      </c>
      <c r="F1406" s="268"/>
      <c r="G1406" s="337">
        <f>G1407+G1409</f>
        <v>1785.1499999999999</v>
      </c>
      <c r="H1406" s="337">
        <f>H1407+H1409</f>
        <v>1784.7643</v>
      </c>
      <c r="I1406" s="337">
        <f t="shared" si="134"/>
        <v>99.978393972495311</v>
      </c>
    </row>
    <row r="1407" spans="1:10" ht="78.75" x14ac:dyDescent="0.25">
      <c r="A1407" s="335" t="s">
        <v>84</v>
      </c>
      <c r="B1407" s="482">
        <v>910</v>
      </c>
      <c r="C1407" s="268" t="s">
        <v>81</v>
      </c>
      <c r="D1407" s="268" t="s">
        <v>120</v>
      </c>
      <c r="E1407" s="268" t="s">
        <v>421</v>
      </c>
      <c r="F1407" s="268" t="s">
        <v>85</v>
      </c>
      <c r="G1407" s="337">
        <f>G1408</f>
        <v>1785.1499999999999</v>
      </c>
      <c r="H1407" s="337">
        <f>H1408</f>
        <v>1784.7643</v>
      </c>
      <c r="I1407" s="337">
        <f t="shared" si="134"/>
        <v>99.978393972495311</v>
      </c>
    </row>
    <row r="1408" spans="1:10" ht="31.5" x14ac:dyDescent="0.25">
      <c r="A1408" s="335" t="s">
        <v>86</v>
      </c>
      <c r="B1408" s="482">
        <v>910</v>
      </c>
      <c r="C1408" s="268" t="s">
        <v>81</v>
      </c>
      <c r="D1408" s="268" t="s">
        <v>120</v>
      </c>
      <c r="E1408" s="268" t="s">
        <v>421</v>
      </c>
      <c r="F1408" s="268" t="s">
        <v>87</v>
      </c>
      <c r="G1408" s="337">
        <f>1636.87+119.25+41.04+34.86+21.99+6.64-48.5-18-9</f>
        <v>1785.1499999999999</v>
      </c>
      <c r="H1408" s="337">
        <v>1784.7643</v>
      </c>
      <c r="I1408" s="337">
        <f t="shared" si="134"/>
        <v>99.978393972495311</v>
      </c>
      <c r="J1408" s="341"/>
    </row>
    <row r="1409" spans="1:10" ht="31.5" hidden="1" x14ac:dyDescent="0.25">
      <c r="A1409" s="335" t="s">
        <v>114</v>
      </c>
      <c r="B1409" s="482">
        <v>910</v>
      </c>
      <c r="C1409" s="268" t="s">
        <v>81</v>
      </c>
      <c r="D1409" s="268" t="s">
        <v>120</v>
      </c>
      <c r="E1409" s="268" t="s">
        <v>421</v>
      </c>
      <c r="F1409" s="268" t="s">
        <v>89</v>
      </c>
      <c r="G1409" s="337">
        <f>G1410</f>
        <v>0</v>
      </c>
      <c r="H1409" s="337">
        <f>H1410</f>
        <v>0</v>
      </c>
      <c r="I1409" s="337" t="e">
        <f t="shared" si="134"/>
        <v>#DIV/0!</v>
      </c>
    </row>
    <row r="1410" spans="1:10" ht="31.5" hidden="1" x14ac:dyDescent="0.25">
      <c r="A1410" s="335" t="s">
        <v>90</v>
      </c>
      <c r="B1410" s="482">
        <v>910</v>
      </c>
      <c r="C1410" s="268" t="s">
        <v>81</v>
      </c>
      <c r="D1410" s="268" t="s">
        <v>120</v>
      </c>
      <c r="E1410" s="268" t="s">
        <v>421</v>
      </c>
      <c r="F1410" s="268" t="s">
        <v>91</v>
      </c>
      <c r="G1410" s="337">
        <v>0</v>
      </c>
      <c r="H1410" s="337">
        <v>0</v>
      </c>
      <c r="I1410" s="337" t="e">
        <f t="shared" si="134"/>
        <v>#DIV/0!</v>
      </c>
    </row>
    <row r="1411" spans="1:10" ht="39.75" customHeight="1" x14ac:dyDescent="0.25">
      <c r="A1411" s="335" t="s">
        <v>304</v>
      </c>
      <c r="B1411" s="482">
        <v>910</v>
      </c>
      <c r="C1411" s="268" t="s">
        <v>81</v>
      </c>
      <c r="D1411" s="268" t="s">
        <v>120</v>
      </c>
      <c r="E1411" s="268" t="s">
        <v>419</v>
      </c>
      <c r="F1411" s="268"/>
      <c r="G1411" s="337">
        <f>G1412</f>
        <v>93.984999999999999</v>
      </c>
      <c r="H1411" s="337">
        <f>H1412</f>
        <v>93.984999999999999</v>
      </c>
      <c r="I1411" s="337">
        <f t="shared" si="134"/>
        <v>100</v>
      </c>
    </row>
    <row r="1412" spans="1:10" ht="69.75" customHeight="1" x14ac:dyDescent="0.25">
      <c r="A1412" s="335" t="s">
        <v>84</v>
      </c>
      <c r="B1412" s="482">
        <v>910</v>
      </c>
      <c r="C1412" s="268" t="s">
        <v>81</v>
      </c>
      <c r="D1412" s="268" t="s">
        <v>120</v>
      </c>
      <c r="E1412" s="268" t="s">
        <v>419</v>
      </c>
      <c r="F1412" s="268" t="s">
        <v>85</v>
      </c>
      <c r="G1412" s="337">
        <f>G1413</f>
        <v>93.984999999999999</v>
      </c>
      <c r="H1412" s="337">
        <f>H1413</f>
        <v>93.984999999999999</v>
      </c>
      <c r="I1412" s="337">
        <f t="shared" si="134"/>
        <v>100</v>
      </c>
    </row>
    <row r="1413" spans="1:10" ht="35.450000000000003" customHeight="1" x14ac:dyDescent="0.25">
      <c r="A1413" s="335" t="s">
        <v>86</v>
      </c>
      <c r="B1413" s="482">
        <v>910</v>
      </c>
      <c r="C1413" s="268" t="s">
        <v>81</v>
      </c>
      <c r="D1413" s="268" t="s">
        <v>120</v>
      </c>
      <c r="E1413" s="268" t="s">
        <v>419</v>
      </c>
      <c r="F1413" s="268" t="s">
        <v>87</v>
      </c>
      <c r="G1413" s="337">
        <f>86+7.985</f>
        <v>93.984999999999999</v>
      </c>
      <c r="H1413" s="337">
        <v>93.984999999999999</v>
      </c>
      <c r="I1413" s="337">
        <f t="shared" si="134"/>
        <v>100</v>
      </c>
    </row>
    <row r="1414" spans="1:10" ht="31.5" x14ac:dyDescent="0.25">
      <c r="A1414" s="335" t="s">
        <v>1085</v>
      </c>
      <c r="B1414" s="482">
        <v>910</v>
      </c>
      <c r="C1414" s="268" t="s">
        <v>81</v>
      </c>
      <c r="D1414" s="268" t="s">
        <v>120</v>
      </c>
      <c r="E1414" s="268" t="s">
        <v>1084</v>
      </c>
      <c r="F1414" s="268"/>
      <c r="G1414" s="337">
        <f>G1415</f>
        <v>69.180000000000007</v>
      </c>
      <c r="H1414" s="337">
        <f>H1415</f>
        <v>69.180000000000007</v>
      </c>
      <c r="I1414" s="337">
        <f t="shared" si="134"/>
        <v>100</v>
      </c>
    </row>
    <row r="1415" spans="1:10" ht="78.75" x14ac:dyDescent="0.25">
      <c r="A1415" s="335" t="s">
        <v>84</v>
      </c>
      <c r="B1415" s="482">
        <v>910</v>
      </c>
      <c r="C1415" s="268" t="s">
        <v>81</v>
      </c>
      <c r="D1415" s="268" t="s">
        <v>120</v>
      </c>
      <c r="E1415" s="268" t="s">
        <v>1084</v>
      </c>
      <c r="F1415" s="268" t="s">
        <v>85</v>
      </c>
      <c r="G1415" s="337">
        <f>G1416</f>
        <v>69.180000000000007</v>
      </c>
      <c r="H1415" s="337">
        <f>H1416</f>
        <v>69.180000000000007</v>
      </c>
      <c r="I1415" s="337">
        <f t="shared" si="134"/>
        <v>100</v>
      </c>
    </row>
    <row r="1416" spans="1:10" ht="31.5" x14ac:dyDescent="0.25">
      <c r="A1416" s="335" t="s">
        <v>86</v>
      </c>
      <c r="B1416" s="482">
        <v>910</v>
      </c>
      <c r="C1416" s="268" t="s">
        <v>81</v>
      </c>
      <c r="D1416" s="268" t="s">
        <v>120</v>
      </c>
      <c r="E1416" s="268" t="s">
        <v>1084</v>
      </c>
      <c r="F1416" s="268" t="s">
        <v>87</v>
      </c>
      <c r="G1416" s="337">
        <v>69.180000000000007</v>
      </c>
      <c r="H1416" s="337">
        <v>69.180000000000007</v>
      </c>
      <c r="I1416" s="337">
        <f t="shared" si="134"/>
        <v>100</v>
      </c>
    </row>
    <row r="1417" spans="1:10" ht="47.25" x14ac:dyDescent="0.25">
      <c r="A1417" s="335" t="s">
        <v>1107</v>
      </c>
      <c r="B1417" s="482">
        <v>910</v>
      </c>
      <c r="C1417" s="268" t="s">
        <v>81</v>
      </c>
      <c r="D1417" s="268" t="s">
        <v>120</v>
      </c>
      <c r="E1417" s="268" t="s">
        <v>1115</v>
      </c>
      <c r="F1417" s="268"/>
      <c r="G1417" s="337">
        <f>G1418</f>
        <v>126.95077999999999</v>
      </c>
      <c r="H1417" s="337">
        <f>H1418</f>
        <v>126.95077999999999</v>
      </c>
      <c r="I1417" s="337">
        <f t="shared" si="134"/>
        <v>100</v>
      </c>
    </row>
    <row r="1418" spans="1:10" ht="65.45" customHeight="1" x14ac:dyDescent="0.25">
      <c r="A1418" s="335" t="s">
        <v>84</v>
      </c>
      <c r="B1418" s="482">
        <v>910</v>
      </c>
      <c r="C1418" s="268" t="s">
        <v>81</v>
      </c>
      <c r="D1418" s="268" t="s">
        <v>120</v>
      </c>
      <c r="E1418" s="268" t="s">
        <v>1115</v>
      </c>
      <c r="F1418" s="268" t="s">
        <v>85</v>
      </c>
      <c r="G1418" s="337">
        <f>G1419</f>
        <v>126.95077999999999</v>
      </c>
      <c r="H1418" s="337">
        <f>H1419</f>
        <v>126.95077999999999</v>
      </c>
      <c r="I1418" s="337">
        <f t="shared" si="134"/>
        <v>100</v>
      </c>
    </row>
    <row r="1419" spans="1:10" ht="31.5" x14ac:dyDescent="0.25">
      <c r="A1419" s="335" t="s">
        <v>86</v>
      </c>
      <c r="B1419" s="482">
        <v>910</v>
      </c>
      <c r="C1419" s="268" t="s">
        <v>81</v>
      </c>
      <c r="D1419" s="268" t="s">
        <v>120</v>
      </c>
      <c r="E1419" s="268" t="s">
        <v>1115</v>
      </c>
      <c r="F1419" s="268" t="s">
        <v>87</v>
      </c>
      <c r="G1419" s="337">
        <f>110.10475+16.84603</f>
        <v>126.95077999999999</v>
      </c>
      <c r="H1419" s="337">
        <v>126.95077999999999</v>
      </c>
      <c r="I1419" s="337">
        <f t="shared" si="134"/>
        <v>100</v>
      </c>
    </row>
    <row r="1420" spans="1:10" ht="15.75" x14ac:dyDescent="0.25">
      <c r="A1420" s="320" t="s">
        <v>232</v>
      </c>
      <c r="B1420" s="495"/>
      <c r="C1420" s="481"/>
      <c r="D1420" s="481"/>
      <c r="E1420" s="481"/>
      <c r="F1420" s="481"/>
      <c r="G1420" s="467">
        <f>G1394+G1093+G941+G709+G658+G297+G44+G11+G637</f>
        <v>1029844.2261399999</v>
      </c>
      <c r="H1420" s="467">
        <f>H1394+H1093+H941+H709+H658+H297+H44+H11+H637</f>
        <v>1019695.7500600001</v>
      </c>
      <c r="I1420" s="338">
        <f t="shared" ref="I1420" si="142">H1420/G1420*100</f>
        <v>99.014562025750465</v>
      </c>
      <c r="J1420" s="293"/>
    </row>
    <row r="1421" spans="1:10" ht="15.75" x14ac:dyDescent="0.25">
      <c r="A1421" s="148"/>
      <c r="B1421" s="496"/>
      <c r="C1421" s="497"/>
      <c r="D1421" s="497"/>
      <c r="E1421" s="497"/>
      <c r="F1421" s="497"/>
      <c r="G1421" s="468"/>
      <c r="H1421" s="468"/>
      <c r="I1421" s="468"/>
      <c r="J1421" s="294"/>
    </row>
    <row r="1422" spans="1:10" ht="28.5" hidden="1" customHeight="1" x14ac:dyDescent="0.25">
      <c r="A1422" s="178"/>
      <c r="B1422" s="498"/>
      <c r="C1422" s="498"/>
      <c r="D1422" s="498"/>
      <c r="E1422" s="499"/>
      <c r="F1422" s="498"/>
      <c r="H1422" s="577">
        <v>1019695.75006</v>
      </c>
      <c r="J1422" s="294"/>
    </row>
    <row r="1423" spans="1:10" ht="18.75" hidden="1" x14ac:dyDescent="0.3">
      <c r="A1423" s="178"/>
      <c r="B1423" s="498"/>
      <c r="C1423" s="500"/>
      <c r="D1423" s="500"/>
      <c r="E1423" s="500"/>
      <c r="F1423" s="501"/>
      <c r="G1423" s="469"/>
      <c r="H1423" s="578">
        <f>H1420-H1422</f>
        <v>0</v>
      </c>
      <c r="I1423" s="469"/>
      <c r="J1423" s="293"/>
    </row>
    <row r="1424" spans="1:10" ht="18.75" hidden="1" x14ac:dyDescent="0.3">
      <c r="A1424" s="178"/>
      <c r="B1424" s="498"/>
      <c r="C1424" s="500"/>
      <c r="D1424" s="500"/>
      <c r="E1424" s="500"/>
      <c r="F1424" s="501"/>
      <c r="G1424" s="469"/>
      <c r="H1424" s="469"/>
      <c r="I1424" s="469"/>
      <c r="J1424" s="295"/>
    </row>
    <row r="1425" spans="1:10" ht="18.75" hidden="1" x14ac:dyDescent="0.3">
      <c r="A1425" s="178"/>
      <c r="B1425" s="498"/>
      <c r="C1425" s="504" t="s">
        <v>81</v>
      </c>
      <c r="D1425" s="504" t="s">
        <v>1158</v>
      </c>
      <c r="E1425" s="500"/>
      <c r="F1425" s="501"/>
      <c r="G1425" s="469">
        <f>G12+G45+G298+G638+G659+G942+G1094+G1395</f>
        <v>224597.62782999998</v>
      </c>
      <c r="H1425" s="469">
        <f>H12+H45+H298+H638+H659+H942+H1094+H1395</f>
        <v>224011.27424000003</v>
      </c>
      <c r="I1425" s="469"/>
      <c r="J1425" s="295"/>
    </row>
    <row r="1426" spans="1:10" ht="15.75" hidden="1" x14ac:dyDescent="0.25">
      <c r="A1426" s="178"/>
      <c r="B1426" s="498"/>
      <c r="C1426" s="504"/>
      <c r="D1426" s="579" t="s">
        <v>119</v>
      </c>
      <c r="E1426" s="502"/>
      <c r="F1426" s="503"/>
      <c r="G1426" s="470">
        <f>G46</f>
        <v>7117.8675999999996</v>
      </c>
      <c r="H1426" s="470">
        <f>H46</f>
        <v>7117.8676000000005</v>
      </c>
      <c r="I1426" s="470"/>
      <c r="J1426" s="295"/>
    </row>
    <row r="1427" spans="1:10" ht="15.75" hidden="1" x14ac:dyDescent="0.25">
      <c r="A1427" s="178"/>
      <c r="B1427" s="498"/>
      <c r="C1427" s="504"/>
      <c r="D1427" s="579" t="s">
        <v>120</v>
      </c>
      <c r="E1427" s="502"/>
      <c r="F1427" s="503"/>
      <c r="G1427" s="470">
        <f>G1396</f>
        <v>8428.4557799999984</v>
      </c>
      <c r="H1427" s="470">
        <f>H1396</f>
        <v>8425.5451899999989</v>
      </c>
      <c r="I1427" s="470"/>
      <c r="J1427" s="295"/>
    </row>
    <row r="1428" spans="1:10" ht="15.75" hidden="1" x14ac:dyDescent="0.25">
      <c r="A1428" s="178"/>
      <c r="B1428" s="498"/>
      <c r="C1428" s="504"/>
      <c r="D1428" s="579" t="s">
        <v>103</v>
      </c>
      <c r="E1428" s="502"/>
      <c r="F1428" s="503"/>
      <c r="G1428" s="470">
        <f>G68+G660</f>
        <v>94493.491870000027</v>
      </c>
      <c r="H1428" s="470">
        <f>H68+H660</f>
        <v>94400.996450000006</v>
      </c>
      <c r="I1428" s="470"/>
      <c r="J1428" s="295"/>
    </row>
    <row r="1429" spans="1:10" ht="15.75" hidden="1" x14ac:dyDescent="0.25">
      <c r="A1429" s="178"/>
      <c r="B1429" s="498"/>
      <c r="C1429" s="504"/>
      <c r="D1429" s="579" t="s">
        <v>83</v>
      </c>
      <c r="E1429" s="502"/>
      <c r="F1429" s="503"/>
      <c r="G1429" s="470">
        <f>G13+G134+G639</f>
        <v>22222.222259999995</v>
      </c>
      <c r="H1429" s="470">
        <f>H13+H134+H639</f>
        <v>22200.45448</v>
      </c>
      <c r="I1429" s="470"/>
      <c r="J1429" s="295"/>
    </row>
    <row r="1430" spans="1:10" ht="15.75" hidden="1" x14ac:dyDescent="0.25">
      <c r="A1430" s="178"/>
      <c r="B1430" s="498"/>
      <c r="C1430" s="504"/>
      <c r="D1430" s="579" t="s">
        <v>197</v>
      </c>
      <c r="E1430" s="502"/>
      <c r="F1430" s="503"/>
      <c r="G1430" s="470">
        <f>G32</f>
        <v>264.62720000000002</v>
      </c>
      <c r="H1430" s="470">
        <f>H32</f>
        <v>0</v>
      </c>
      <c r="I1430" s="470"/>
      <c r="J1430" s="295"/>
    </row>
    <row r="1431" spans="1:10" ht="15.75" hidden="1" x14ac:dyDescent="0.25">
      <c r="A1431" s="178"/>
      <c r="B1431" s="498"/>
      <c r="C1431" s="504"/>
      <c r="D1431" s="579" t="s">
        <v>96</v>
      </c>
      <c r="E1431" s="502"/>
      <c r="F1431" s="503"/>
      <c r="G1431" s="470">
        <f>G38+G151+G299+G679+G943+G1095</f>
        <v>92070.96312</v>
      </c>
      <c r="H1431" s="470">
        <f>H38+H151+H299+H679+H943+H1095</f>
        <v>91866.410520000005</v>
      </c>
      <c r="I1431" s="470"/>
      <c r="J1431" s="295"/>
    </row>
    <row r="1432" spans="1:10" ht="15.75" hidden="1" x14ac:dyDescent="0.25">
      <c r="A1432" s="178"/>
      <c r="B1432" s="498"/>
      <c r="C1432" s="504"/>
      <c r="D1432" s="579"/>
      <c r="E1432" s="502"/>
      <c r="F1432" s="503"/>
      <c r="G1432" s="470"/>
      <c r="H1432" s="470"/>
      <c r="I1432" s="470"/>
      <c r="J1432" s="295"/>
    </row>
    <row r="1433" spans="1:10" ht="15.75" hidden="1" x14ac:dyDescent="0.25">
      <c r="A1433" s="178"/>
      <c r="B1433" s="498"/>
      <c r="C1433" s="504"/>
      <c r="D1433" s="579"/>
      <c r="E1433" s="502"/>
      <c r="F1433" s="503"/>
      <c r="G1433" s="470"/>
      <c r="H1433" s="470"/>
      <c r="I1433" s="470"/>
      <c r="J1433" s="295"/>
    </row>
    <row r="1434" spans="1:10" ht="15.75" hidden="1" x14ac:dyDescent="0.25">
      <c r="A1434" s="178"/>
      <c r="B1434" s="498"/>
      <c r="C1434" s="504"/>
      <c r="D1434" s="579"/>
      <c r="E1434" s="502"/>
      <c r="F1434" s="503"/>
      <c r="G1434" s="470"/>
      <c r="H1434" s="470"/>
      <c r="I1434" s="470"/>
      <c r="J1434" s="295"/>
    </row>
    <row r="1435" spans="1:10" ht="15.75" hidden="1" x14ac:dyDescent="0.25">
      <c r="A1435" s="178"/>
      <c r="B1435" s="498"/>
      <c r="C1435" s="504"/>
      <c r="D1435" s="579"/>
      <c r="E1435" s="502"/>
      <c r="F1435" s="503"/>
      <c r="G1435" s="470"/>
      <c r="H1435" s="470"/>
      <c r="I1435" s="470"/>
      <c r="J1435" s="295"/>
    </row>
    <row r="1436" spans="1:10" ht="15.75" hidden="1" x14ac:dyDescent="0.25">
      <c r="A1436" s="178"/>
      <c r="B1436" s="498"/>
      <c r="C1436" s="504"/>
      <c r="D1436" s="579"/>
      <c r="E1436" s="502"/>
      <c r="F1436" s="503"/>
      <c r="G1436" s="470"/>
      <c r="H1436" s="470"/>
      <c r="I1436" s="470"/>
      <c r="J1436" s="295"/>
    </row>
    <row r="1437" spans="1:10" ht="15.75" hidden="1" x14ac:dyDescent="0.25">
      <c r="A1437" s="178"/>
      <c r="B1437" s="498"/>
      <c r="C1437" s="504"/>
      <c r="D1437" s="579"/>
      <c r="E1437" s="502"/>
      <c r="F1437" s="503"/>
      <c r="G1437" s="470"/>
      <c r="H1437" s="470"/>
      <c r="I1437" s="470"/>
      <c r="J1437" s="295"/>
    </row>
    <row r="1438" spans="1:10" ht="15.75" hidden="1" x14ac:dyDescent="0.25">
      <c r="A1438" s="178"/>
      <c r="B1438" s="498"/>
      <c r="C1438" s="504"/>
      <c r="D1438" s="579"/>
      <c r="E1438" s="502"/>
      <c r="F1438" s="503"/>
      <c r="G1438" s="470"/>
      <c r="H1438" s="470"/>
      <c r="I1438" s="470"/>
      <c r="J1438" s="295"/>
    </row>
    <row r="1439" spans="1:10" ht="15.75" hidden="1" x14ac:dyDescent="0.25">
      <c r="A1439" s="178"/>
      <c r="B1439" s="498"/>
      <c r="C1439" s="504"/>
      <c r="D1439" s="579" t="s">
        <v>120</v>
      </c>
      <c r="E1439" s="502"/>
      <c r="F1439" s="502"/>
      <c r="G1439" s="470"/>
      <c r="H1439" s="470"/>
      <c r="I1439" s="470"/>
      <c r="J1439" s="287"/>
    </row>
    <row r="1440" spans="1:10" ht="15.75" hidden="1" x14ac:dyDescent="0.25">
      <c r="A1440" s="178"/>
      <c r="B1440" s="498"/>
      <c r="C1440" s="504"/>
      <c r="D1440" s="579" t="s">
        <v>103</v>
      </c>
      <c r="E1440" s="502"/>
      <c r="F1440" s="504"/>
      <c r="G1440" s="470"/>
      <c r="H1440" s="470"/>
      <c r="I1440" s="470"/>
    </row>
    <row r="1441" spans="1:10" s="220" customFormat="1" ht="15.75" hidden="1" x14ac:dyDescent="0.25">
      <c r="A1441" s="219"/>
      <c r="B1441" s="505"/>
      <c r="C1441" s="507"/>
      <c r="D1441" s="580" t="s">
        <v>129</v>
      </c>
      <c r="E1441" s="506"/>
      <c r="F1441" s="507"/>
      <c r="G1441" s="471"/>
      <c r="H1441" s="471"/>
      <c r="I1441" s="471"/>
      <c r="J1441" s="296"/>
    </row>
    <row r="1442" spans="1:10" s="220" customFormat="1" ht="15.75" hidden="1" x14ac:dyDescent="0.25">
      <c r="A1442" s="219"/>
      <c r="B1442" s="505"/>
      <c r="C1442" s="507"/>
      <c r="D1442" s="580" t="s">
        <v>83</v>
      </c>
      <c r="E1442" s="506"/>
      <c r="F1442" s="507"/>
      <c r="G1442" s="471"/>
      <c r="H1442" s="471"/>
      <c r="I1442" s="471"/>
      <c r="J1442" s="296"/>
    </row>
    <row r="1443" spans="1:10" ht="15.75" hidden="1" x14ac:dyDescent="0.25">
      <c r="A1443" s="178"/>
      <c r="B1443" s="498"/>
      <c r="C1443" s="504"/>
      <c r="D1443" s="579" t="s">
        <v>145</v>
      </c>
      <c r="E1443" s="502"/>
      <c r="F1443" s="504"/>
      <c r="G1443" s="470"/>
      <c r="H1443" s="470"/>
      <c r="I1443" s="470"/>
      <c r="J1443" s="281"/>
    </row>
    <row r="1444" spans="1:10" ht="15.75" hidden="1" customHeight="1" x14ac:dyDescent="0.25">
      <c r="A1444" s="178"/>
      <c r="B1444" s="498"/>
      <c r="C1444" s="504"/>
      <c r="D1444" s="579" t="s">
        <v>159</v>
      </c>
      <c r="E1444" s="502"/>
      <c r="F1444" s="504"/>
      <c r="G1444" s="470"/>
      <c r="H1444" s="470"/>
      <c r="I1444" s="470"/>
      <c r="J1444" s="293"/>
    </row>
    <row r="1445" spans="1:10" ht="15.75" hidden="1" x14ac:dyDescent="0.25">
      <c r="A1445" s="178"/>
      <c r="B1445" s="498"/>
      <c r="C1445" s="504"/>
      <c r="D1445" s="579" t="s">
        <v>134</v>
      </c>
      <c r="E1445" s="502"/>
      <c r="F1445" s="504"/>
      <c r="G1445" s="470"/>
      <c r="H1445" s="470"/>
      <c r="I1445" s="470"/>
      <c r="J1445" s="293"/>
    </row>
    <row r="1446" spans="1:10" ht="15.6" hidden="1" customHeight="1" x14ac:dyDescent="0.25">
      <c r="A1446" s="178"/>
      <c r="B1446" s="498"/>
      <c r="C1446" s="504"/>
      <c r="D1446" s="579" t="s">
        <v>197</v>
      </c>
      <c r="E1446" s="502"/>
      <c r="F1446" s="504"/>
      <c r="G1446" s="470"/>
      <c r="H1446" s="470"/>
      <c r="I1446" s="470"/>
      <c r="J1446" s="281"/>
    </row>
    <row r="1447" spans="1:10" ht="15.6" hidden="1" customHeight="1" x14ac:dyDescent="0.25">
      <c r="A1447" s="178"/>
      <c r="B1447" s="498"/>
      <c r="C1447" s="504"/>
      <c r="D1447" s="579" t="s">
        <v>132</v>
      </c>
      <c r="E1447" s="502"/>
      <c r="F1447" s="507"/>
      <c r="G1447" s="471"/>
      <c r="H1447" s="471"/>
      <c r="I1447" s="471"/>
      <c r="J1447" s="281"/>
    </row>
    <row r="1448" spans="1:10" ht="15.6" customHeight="1" x14ac:dyDescent="0.25">
      <c r="A1448" s="178"/>
      <c r="B1448" s="498"/>
      <c r="C1448" s="504"/>
      <c r="D1448" s="579"/>
      <c r="E1448" s="502"/>
      <c r="F1448" s="507"/>
      <c r="G1448" s="471"/>
      <c r="H1448" s="471"/>
      <c r="I1448" s="471"/>
      <c r="J1448" s="281"/>
    </row>
    <row r="1449" spans="1:10" ht="15.75" x14ac:dyDescent="0.25">
      <c r="A1449" s="178"/>
      <c r="B1449" s="498"/>
      <c r="C1449" s="504"/>
      <c r="D1449" s="579"/>
      <c r="E1449" s="502"/>
      <c r="F1449" s="504"/>
      <c r="G1449" s="470"/>
      <c r="H1449" s="470"/>
      <c r="I1449" s="470"/>
      <c r="J1449" s="281"/>
    </row>
    <row r="1450" spans="1:10" ht="15.75" x14ac:dyDescent="0.25">
      <c r="A1450" s="178"/>
      <c r="B1450" s="498"/>
      <c r="C1450" s="504"/>
      <c r="D1450" s="579"/>
      <c r="E1450" s="502"/>
      <c r="F1450" s="504"/>
      <c r="G1450" s="470"/>
      <c r="H1450" s="470"/>
      <c r="I1450" s="470"/>
      <c r="J1450" s="293"/>
    </row>
    <row r="1451" spans="1:10" ht="15.75" x14ac:dyDescent="0.25">
      <c r="A1451" s="178"/>
      <c r="B1451" s="498"/>
      <c r="C1451" s="504"/>
      <c r="D1451" s="579"/>
      <c r="E1451" s="502"/>
      <c r="F1451" s="504"/>
      <c r="G1451" s="470"/>
      <c r="H1451" s="470"/>
      <c r="I1451" s="470"/>
      <c r="J1451" s="293"/>
    </row>
    <row r="1452" spans="1:10" ht="15.75" x14ac:dyDescent="0.25">
      <c r="A1452" s="178"/>
      <c r="B1452" s="498"/>
      <c r="C1452" s="504"/>
      <c r="D1452" s="579"/>
      <c r="E1452" s="502"/>
      <c r="F1452" s="507"/>
      <c r="G1452" s="471"/>
      <c r="H1452" s="471"/>
      <c r="I1452" s="471"/>
      <c r="J1452" s="293"/>
    </row>
    <row r="1453" spans="1:10" ht="15.75" x14ac:dyDescent="0.25">
      <c r="A1453" s="178"/>
      <c r="B1453" s="498"/>
      <c r="C1453" s="504"/>
      <c r="D1453" s="579"/>
      <c r="E1453" s="502"/>
      <c r="F1453" s="507"/>
      <c r="G1453" s="471"/>
      <c r="H1453" s="471"/>
      <c r="I1453" s="471"/>
      <c r="J1453" s="293"/>
    </row>
    <row r="1454" spans="1:10" ht="15.75" x14ac:dyDescent="0.25">
      <c r="A1454" s="178"/>
      <c r="B1454" s="498"/>
      <c r="C1454" s="504"/>
      <c r="D1454" s="579"/>
      <c r="E1454" s="502"/>
      <c r="F1454" s="504"/>
      <c r="G1454" s="470"/>
      <c r="H1454" s="470"/>
      <c r="I1454" s="470"/>
      <c r="J1454" s="281"/>
    </row>
    <row r="1455" spans="1:10" ht="15.75" x14ac:dyDescent="0.25">
      <c r="A1455" s="178"/>
      <c r="B1455" s="498"/>
      <c r="C1455" s="504"/>
      <c r="D1455" s="579"/>
      <c r="E1455" s="502"/>
      <c r="F1455" s="504"/>
      <c r="G1455" s="470"/>
      <c r="H1455" s="470"/>
      <c r="I1455" s="470"/>
      <c r="J1455" s="293"/>
    </row>
    <row r="1456" spans="1:10" ht="15.75" x14ac:dyDescent="0.25">
      <c r="A1456" s="178"/>
      <c r="B1456" s="498"/>
      <c r="C1456" s="504"/>
      <c r="D1456" s="502"/>
      <c r="E1456" s="502"/>
      <c r="F1456" s="504"/>
      <c r="G1456" s="470"/>
      <c r="H1456" s="470"/>
      <c r="I1456" s="470"/>
      <c r="J1456" s="293"/>
    </row>
    <row r="1457" spans="1:10" ht="15.75" x14ac:dyDescent="0.25">
      <c r="A1457" s="178"/>
      <c r="B1457" s="498"/>
      <c r="C1457" s="504"/>
      <c r="D1457" s="502"/>
      <c r="E1457" s="502"/>
      <c r="F1457" s="507"/>
      <c r="G1457" s="471"/>
      <c r="H1457" s="471"/>
      <c r="I1457" s="471"/>
      <c r="J1457" s="293"/>
    </row>
    <row r="1458" spans="1:10" ht="15.75" x14ac:dyDescent="0.25">
      <c r="A1458" s="178"/>
      <c r="B1458" s="498"/>
      <c r="C1458" s="504"/>
      <c r="D1458" s="502"/>
      <c r="E1458" s="502"/>
      <c r="F1458" s="507"/>
      <c r="G1458" s="471"/>
      <c r="H1458" s="471"/>
      <c r="I1458" s="471"/>
      <c r="J1458" s="293"/>
    </row>
    <row r="1459" spans="1:10" ht="15.75" x14ac:dyDescent="0.25">
      <c r="A1459" s="178"/>
      <c r="B1459" s="498"/>
      <c r="C1459" s="504"/>
      <c r="D1459" s="502"/>
      <c r="E1459" s="502"/>
      <c r="F1459" s="504"/>
      <c r="G1459" s="470"/>
      <c r="H1459" s="470"/>
      <c r="I1459" s="470"/>
      <c r="J1459" s="281"/>
    </row>
    <row r="1460" spans="1:10" ht="15.75" x14ac:dyDescent="0.25">
      <c r="A1460" s="178"/>
      <c r="B1460" s="498"/>
      <c r="C1460" s="504"/>
      <c r="D1460" s="502"/>
      <c r="E1460" s="502"/>
      <c r="F1460" s="504"/>
      <c r="G1460" s="470"/>
      <c r="H1460" s="470"/>
      <c r="I1460" s="470"/>
      <c r="J1460" s="293"/>
    </row>
    <row r="1461" spans="1:10" ht="15.75" x14ac:dyDescent="0.25">
      <c r="A1461" s="178"/>
      <c r="B1461" s="498"/>
      <c r="C1461" s="504"/>
      <c r="D1461" s="502"/>
      <c r="E1461" s="502"/>
      <c r="F1461" s="504"/>
      <c r="G1461" s="470"/>
      <c r="H1461" s="470"/>
      <c r="I1461" s="470"/>
      <c r="J1461" s="293"/>
    </row>
    <row r="1462" spans="1:10" ht="15.75" x14ac:dyDescent="0.25">
      <c r="A1462" s="178"/>
      <c r="B1462" s="498"/>
      <c r="C1462" s="504"/>
      <c r="D1462" s="502"/>
      <c r="E1462" s="502"/>
      <c r="F1462" s="507"/>
      <c r="G1462" s="471"/>
      <c r="H1462" s="471"/>
      <c r="I1462" s="471"/>
      <c r="J1462" s="293"/>
    </row>
    <row r="1463" spans="1:10" ht="15.75" x14ac:dyDescent="0.25">
      <c r="A1463" s="178"/>
      <c r="B1463" s="498"/>
      <c r="C1463" s="504"/>
      <c r="D1463" s="502"/>
      <c r="E1463" s="502"/>
      <c r="F1463" s="507"/>
      <c r="G1463" s="471"/>
      <c r="H1463" s="471"/>
      <c r="I1463" s="471"/>
      <c r="J1463" s="293"/>
    </row>
    <row r="1464" spans="1:10" ht="15.75" x14ac:dyDescent="0.25">
      <c r="A1464" s="178"/>
      <c r="B1464" s="498"/>
      <c r="C1464" s="504"/>
      <c r="D1464" s="502"/>
      <c r="E1464" s="502"/>
      <c r="F1464" s="504"/>
      <c r="G1464" s="470"/>
      <c r="H1464" s="470"/>
      <c r="I1464" s="470"/>
      <c r="J1464" s="281"/>
    </row>
    <row r="1465" spans="1:10" ht="15.75" x14ac:dyDescent="0.25">
      <c r="A1465" s="178"/>
      <c r="B1465" s="498"/>
      <c r="C1465" s="504"/>
      <c r="D1465" s="502"/>
      <c r="E1465" s="502"/>
      <c r="F1465" s="504"/>
      <c r="G1465" s="470"/>
      <c r="H1465" s="470"/>
      <c r="I1465" s="470"/>
      <c r="J1465" s="293"/>
    </row>
    <row r="1466" spans="1:10" ht="15.75" x14ac:dyDescent="0.25">
      <c r="A1466" s="178"/>
      <c r="B1466" s="498"/>
      <c r="C1466" s="504"/>
      <c r="D1466" s="502"/>
      <c r="E1466" s="502"/>
      <c r="F1466" s="504"/>
      <c r="G1466" s="470"/>
      <c r="H1466" s="470"/>
      <c r="I1466" s="470"/>
      <c r="J1466" s="293"/>
    </row>
    <row r="1467" spans="1:10" ht="15.75" x14ac:dyDescent="0.25">
      <c r="A1467" s="178"/>
      <c r="B1467" s="498"/>
      <c r="C1467" s="504"/>
      <c r="D1467" s="502"/>
      <c r="E1467" s="502"/>
      <c r="F1467" s="507"/>
      <c r="G1467" s="471"/>
      <c r="H1467" s="471"/>
      <c r="I1467" s="471"/>
      <c r="J1467" s="293"/>
    </row>
    <row r="1468" spans="1:10" ht="15.75" x14ac:dyDescent="0.25">
      <c r="A1468" s="178"/>
      <c r="B1468" s="498"/>
      <c r="C1468" s="504"/>
      <c r="D1468" s="502"/>
      <c r="E1468" s="502"/>
      <c r="F1468" s="507"/>
      <c r="G1468" s="471"/>
      <c r="H1468" s="471"/>
      <c r="I1468" s="471"/>
      <c r="J1468" s="293"/>
    </row>
    <row r="1469" spans="1:10" ht="15.75" x14ac:dyDescent="0.25">
      <c r="A1469" s="178"/>
      <c r="B1469" s="498"/>
      <c r="C1469" s="504"/>
      <c r="D1469" s="502"/>
      <c r="E1469" s="502"/>
      <c r="F1469" s="504"/>
      <c r="G1469" s="470"/>
      <c r="H1469" s="470"/>
      <c r="I1469" s="470"/>
      <c r="J1469" s="281"/>
    </row>
    <row r="1470" spans="1:10" ht="15.75" x14ac:dyDescent="0.25">
      <c r="A1470" s="178"/>
      <c r="B1470" s="498"/>
      <c r="C1470" s="504"/>
      <c r="D1470" s="502"/>
      <c r="E1470" s="502"/>
      <c r="F1470" s="504"/>
      <c r="G1470" s="470"/>
      <c r="H1470" s="470"/>
      <c r="I1470" s="470"/>
      <c r="J1470" s="293"/>
    </row>
    <row r="1471" spans="1:10" ht="15.75" x14ac:dyDescent="0.25">
      <c r="A1471" s="178"/>
      <c r="B1471" s="498"/>
      <c r="C1471" s="504"/>
      <c r="D1471" s="502"/>
      <c r="E1471" s="502"/>
      <c r="F1471" s="504"/>
      <c r="G1471" s="470"/>
      <c r="H1471" s="470"/>
      <c r="I1471" s="470"/>
      <c r="J1471" s="293"/>
    </row>
    <row r="1472" spans="1:10" ht="15.75" x14ac:dyDescent="0.25">
      <c r="A1472" s="178"/>
      <c r="B1472" s="498"/>
      <c r="C1472" s="504"/>
      <c r="D1472" s="502"/>
      <c r="E1472" s="502"/>
      <c r="F1472" s="507"/>
      <c r="G1472" s="471"/>
      <c r="H1472" s="471"/>
      <c r="I1472" s="471"/>
      <c r="J1472" s="293"/>
    </row>
    <row r="1473" spans="1:10" ht="15.75" x14ac:dyDescent="0.25">
      <c r="A1473" s="178"/>
      <c r="B1473" s="498"/>
      <c r="C1473" s="504"/>
      <c r="D1473" s="502"/>
      <c r="E1473" s="502"/>
      <c r="F1473" s="507"/>
      <c r="G1473" s="471"/>
      <c r="H1473" s="471"/>
      <c r="I1473" s="471"/>
      <c r="J1473" s="293"/>
    </row>
    <row r="1474" spans="1:10" ht="15.75" x14ac:dyDescent="0.25">
      <c r="A1474" s="178"/>
      <c r="B1474" s="498"/>
      <c r="C1474" s="504"/>
      <c r="D1474" s="502"/>
      <c r="E1474" s="502"/>
      <c r="F1474" s="504"/>
      <c r="G1474" s="470"/>
      <c r="H1474" s="470"/>
      <c r="I1474" s="470"/>
      <c r="J1474" s="281"/>
    </row>
    <row r="1475" spans="1:10" ht="15.75" x14ac:dyDescent="0.25">
      <c r="A1475" s="178"/>
      <c r="B1475" s="498"/>
      <c r="C1475" s="504"/>
      <c r="D1475" s="502"/>
      <c r="E1475" s="502"/>
      <c r="F1475" s="504"/>
      <c r="G1475" s="470"/>
      <c r="H1475" s="470"/>
      <c r="I1475" s="470"/>
      <c r="J1475" s="293"/>
    </row>
    <row r="1476" spans="1:10" ht="15.75" x14ac:dyDescent="0.25">
      <c r="A1476" s="178"/>
      <c r="B1476" s="498"/>
      <c r="C1476" s="504"/>
      <c r="D1476" s="502"/>
      <c r="E1476" s="502"/>
      <c r="F1476" s="504"/>
      <c r="G1476" s="470"/>
      <c r="H1476" s="470"/>
      <c r="I1476" s="470"/>
      <c r="J1476" s="293"/>
    </row>
    <row r="1477" spans="1:10" ht="15.75" x14ac:dyDescent="0.25">
      <c r="A1477" s="178"/>
      <c r="B1477" s="498"/>
      <c r="C1477" s="504"/>
      <c r="D1477" s="502"/>
      <c r="E1477" s="502"/>
      <c r="F1477" s="504"/>
      <c r="G1477" s="471"/>
      <c r="H1477" s="471"/>
      <c r="I1477" s="471"/>
      <c r="J1477" s="293"/>
    </row>
    <row r="1478" spans="1:10" ht="15.75" x14ac:dyDescent="0.25">
      <c r="A1478" s="178"/>
      <c r="B1478" s="498"/>
      <c r="C1478" s="504"/>
      <c r="D1478" s="502"/>
      <c r="E1478" s="502"/>
      <c r="F1478" s="504"/>
      <c r="G1478" s="471"/>
      <c r="H1478" s="471"/>
      <c r="I1478" s="471"/>
      <c r="J1478" s="293"/>
    </row>
    <row r="1479" spans="1:10" ht="15.75" x14ac:dyDescent="0.25">
      <c r="A1479" s="178"/>
      <c r="B1479" s="498"/>
      <c r="C1479" s="504"/>
      <c r="D1479" s="502"/>
      <c r="E1479" s="502"/>
      <c r="F1479" s="504"/>
      <c r="G1479" s="470"/>
      <c r="H1479" s="470"/>
      <c r="I1479" s="470"/>
      <c r="J1479" s="281"/>
    </row>
    <row r="1480" spans="1:10" ht="15.75" x14ac:dyDescent="0.25">
      <c r="A1480" s="178"/>
      <c r="B1480" s="498"/>
      <c r="C1480" s="504"/>
      <c r="D1480" s="502"/>
      <c r="E1480" s="502"/>
      <c r="F1480" s="504"/>
      <c r="G1480" s="470"/>
      <c r="H1480" s="470"/>
      <c r="I1480" s="470"/>
      <c r="J1480" s="293"/>
    </row>
    <row r="1481" spans="1:10" ht="15.75" x14ac:dyDescent="0.25">
      <c r="A1481" s="178"/>
      <c r="B1481" s="498"/>
      <c r="C1481" s="504"/>
      <c r="D1481" s="502"/>
      <c r="E1481" s="502"/>
      <c r="F1481" s="504"/>
      <c r="G1481" s="470"/>
      <c r="H1481" s="470"/>
      <c r="I1481" s="470"/>
      <c r="J1481" s="293"/>
    </row>
    <row r="1482" spans="1:10" ht="15.75" x14ac:dyDescent="0.25">
      <c r="A1482" s="178"/>
      <c r="B1482" s="498"/>
      <c r="C1482" s="504"/>
      <c r="D1482" s="502"/>
      <c r="E1482" s="502"/>
      <c r="F1482" s="504"/>
      <c r="G1482" s="471"/>
      <c r="H1482" s="471"/>
      <c r="I1482" s="471"/>
      <c r="J1482" s="293"/>
    </row>
    <row r="1483" spans="1:10" ht="15.75" x14ac:dyDescent="0.25">
      <c r="A1483" s="178"/>
      <c r="B1483" s="498"/>
      <c r="C1483" s="504"/>
      <c r="D1483" s="502"/>
      <c r="E1483" s="502"/>
      <c r="F1483" s="504"/>
      <c r="G1483" s="471"/>
      <c r="H1483" s="471"/>
      <c r="I1483" s="471"/>
      <c r="J1483" s="293"/>
    </row>
    <row r="1484" spans="1:10" ht="15.75" x14ac:dyDescent="0.25">
      <c r="A1484" s="178"/>
      <c r="B1484" s="498"/>
      <c r="C1484" s="504"/>
      <c r="D1484" s="502"/>
      <c r="E1484" s="502"/>
      <c r="F1484" s="504"/>
      <c r="G1484" s="470"/>
      <c r="H1484" s="470"/>
      <c r="I1484" s="470"/>
      <c r="J1484" s="281"/>
    </row>
    <row r="1485" spans="1:10" ht="15.75" x14ac:dyDescent="0.25">
      <c r="A1485" s="178"/>
      <c r="B1485" s="498"/>
      <c r="C1485" s="504"/>
      <c r="D1485" s="502"/>
      <c r="E1485" s="502"/>
      <c r="F1485" s="507"/>
      <c r="G1485" s="471"/>
      <c r="H1485" s="471"/>
      <c r="I1485" s="471"/>
      <c r="J1485" s="281"/>
    </row>
    <row r="1486" spans="1:10" ht="15.75" x14ac:dyDescent="0.25">
      <c r="A1486" s="178"/>
      <c r="B1486" s="498"/>
      <c r="C1486" s="504"/>
      <c r="D1486" s="502"/>
      <c r="E1486" s="502"/>
      <c r="F1486" s="507"/>
      <c r="G1486" s="471"/>
      <c r="H1486" s="471"/>
      <c r="I1486" s="471"/>
      <c r="J1486" s="281"/>
    </row>
    <row r="1487" spans="1:10" ht="15.75" x14ac:dyDescent="0.25">
      <c r="A1487" s="178"/>
      <c r="B1487" s="498"/>
      <c r="C1487" s="504"/>
      <c r="D1487" s="502"/>
      <c r="E1487" s="502"/>
      <c r="F1487" s="502"/>
      <c r="G1487" s="472"/>
      <c r="H1487" s="472"/>
      <c r="I1487" s="472"/>
      <c r="J1487" s="281"/>
    </row>
    <row r="1488" spans="1:10" ht="15.75" x14ac:dyDescent="0.25">
      <c r="A1488" s="178"/>
      <c r="B1488" s="498"/>
      <c r="C1488" s="508"/>
      <c r="D1488" s="502"/>
      <c r="E1488" s="502"/>
      <c r="F1488" s="502"/>
      <c r="G1488" s="472"/>
      <c r="H1488" s="472"/>
      <c r="I1488" s="472"/>
      <c r="J1488" s="293"/>
    </row>
    <row r="1489" spans="1:10" ht="15.75" x14ac:dyDescent="0.25">
      <c r="A1489" s="178"/>
      <c r="B1489" s="498"/>
      <c r="C1489" s="508"/>
      <c r="D1489" s="502"/>
      <c r="E1489" s="502"/>
      <c r="F1489" s="502"/>
      <c r="G1489" s="472"/>
      <c r="H1489" s="472"/>
      <c r="I1489" s="472"/>
      <c r="J1489" s="293"/>
    </row>
    <row r="1490" spans="1:10" ht="15.75" x14ac:dyDescent="0.25">
      <c r="A1490" s="178"/>
      <c r="B1490" s="498"/>
      <c r="C1490" s="508"/>
      <c r="D1490" s="502"/>
      <c r="E1490" s="502"/>
      <c r="F1490" s="502"/>
      <c r="G1490" s="472"/>
      <c r="H1490" s="472"/>
      <c r="I1490" s="472"/>
      <c r="J1490" s="293"/>
    </row>
    <row r="1491" spans="1:10" ht="15.75" x14ac:dyDescent="0.25">
      <c r="A1491" s="178"/>
      <c r="B1491" s="498"/>
      <c r="C1491" s="508"/>
      <c r="D1491" s="502"/>
      <c r="E1491" s="502"/>
      <c r="F1491" s="502"/>
      <c r="G1491" s="472"/>
      <c r="H1491" s="472"/>
      <c r="I1491" s="472"/>
      <c r="J1491" s="293"/>
    </row>
    <row r="1493" spans="1:10" ht="18.75" x14ac:dyDescent="0.3">
      <c r="G1493" s="473"/>
      <c r="H1493" s="473"/>
      <c r="I1493" s="473"/>
    </row>
    <row r="1494" spans="1:10" ht="18.75" x14ac:dyDescent="0.3">
      <c r="G1494" s="473"/>
      <c r="H1494" s="473"/>
      <c r="I1494" s="473"/>
    </row>
    <row r="1495" spans="1:10" ht="18.75" x14ac:dyDescent="0.3">
      <c r="G1495" s="473"/>
      <c r="H1495" s="473"/>
      <c r="I1495" s="473"/>
      <c r="J1495" s="297"/>
    </row>
    <row r="1496" spans="1:10" ht="18.75" x14ac:dyDescent="0.3">
      <c r="G1496" s="473"/>
      <c r="H1496" s="473"/>
      <c r="I1496" s="473"/>
      <c r="J1496" s="297"/>
    </row>
    <row r="1497" spans="1:10" ht="18.75" x14ac:dyDescent="0.3">
      <c r="G1497" s="473"/>
      <c r="H1497" s="473"/>
      <c r="I1497" s="473"/>
      <c r="J1497" s="297"/>
    </row>
    <row r="1498" spans="1:10" ht="18.75" x14ac:dyDescent="0.3">
      <c r="G1498" s="473"/>
      <c r="H1498" s="473"/>
      <c r="I1498" s="473"/>
      <c r="J1498" s="297"/>
    </row>
    <row r="1499" spans="1:10" ht="18.75" x14ac:dyDescent="0.3">
      <c r="G1499" s="473"/>
      <c r="H1499" s="473"/>
      <c r="I1499" s="473"/>
      <c r="J1499" s="297"/>
    </row>
    <row r="1500" spans="1:10" ht="18.75" x14ac:dyDescent="0.3">
      <c r="G1500" s="473"/>
      <c r="H1500" s="473"/>
      <c r="I1500" s="473"/>
      <c r="J1500" s="297"/>
    </row>
    <row r="1501" spans="1:10" ht="18.75" x14ac:dyDescent="0.3">
      <c r="G1501" s="473"/>
      <c r="H1501" s="473"/>
      <c r="I1501" s="473"/>
      <c r="J1501" s="297"/>
    </row>
    <row r="1502" spans="1:10" ht="18.75" x14ac:dyDescent="0.3">
      <c r="G1502" s="473"/>
      <c r="H1502" s="473"/>
      <c r="I1502" s="473"/>
      <c r="J1502" s="297"/>
    </row>
    <row r="1503" spans="1:10" ht="18.75" x14ac:dyDescent="0.3">
      <c r="G1503" s="473"/>
      <c r="H1503" s="473"/>
      <c r="I1503" s="473"/>
      <c r="J1503" s="297"/>
    </row>
    <row r="1504" spans="1:10" ht="18.75" x14ac:dyDescent="0.3">
      <c r="G1504" s="473"/>
      <c r="H1504" s="473"/>
      <c r="I1504" s="473"/>
      <c r="J1504" s="297"/>
    </row>
    <row r="1505" spans="7:10" ht="18.75" x14ac:dyDescent="0.3">
      <c r="G1505" s="473"/>
      <c r="H1505" s="473"/>
      <c r="I1505" s="473"/>
      <c r="J1505" s="297"/>
    </row>
    <row r="1506" spans="7:10" ht="18.75" x14ac:dyDescent="0.3">
      <c r="G1506" s="473"/>
      <c r="H1506" s="473"/>
      <c r="I1506" s="473"/>
      <c r="J1506" s="297"/>
    </row>
    <row r="1507" spans="7:10" ht="18.75" x14ac:dyDescent="0.3">
      <c r="G1507" s="473"/>
      <c r="H1507" s="473"/>
      <c r="I1507" s="473"/>
      <c r="J1507" s="297"/>
    </row>
    <row r="1508" spans="7:10" ht="18.75" x14ac:dyDescent="0.3">
      <c r="G1508" s="473"/>
      <c r="H1508" s="473"/>
      <c r="I1508" s="473"/>
      <c r="J1508" s="297"/>
    </row>
    <row r="1509" spans="7:10" ht="18.75" x14ac:dyDescent="0.3">
      <c r="G1509" s="473"/>
      <c r="H1509" s="473"/>
      <c r="I1509" s="473"/>
      <c r="J1509" s="297"/>
    </row>
    <row r="1510" spans="7:10" ht="18.75" x14ac:dyDescent="0.3">
      <c r="G1510" s="473"/>
      <c r="H1510" s="473"/>
      <c r="I1510" s="473"/>
      <c r="J1510" s="297"/>
    </row>
    <row r="1511" spans="7:10" ht="18.75" x14ac:dyDescent="0.3">
      <c r="G1511" s="473"/>
      <c r="H1511" s="473"/>
      <c r="I1511" s="473"/>
      <c r="J1511" s="297"/>
    </row>
    <row r="1512" spans="7:10" ht="18.75" x14ac:dyDescent="0.3">
      <c r="G1512" s="473"/>
      <c r="H1512" s="473"/>
      <c r="I1512" s="473"/>
    </row>
    <row r="1513" spans="7:10" ht="18.75" x14ac:dyDescent="0.3">
      <c r="G1513" s="473"/>
      <c r="H1513" s="473"/>
      <c r="I1513" s="473"/>
    </row>
    <row r="1514" spans="7:10" ht="18.75" x14ac:dyDescent="0.3">
      <c r="G1514" s="474"/>
      <c r="H1514" s="510"/>
      <c r="I1514" s="510"/>
    </row>
    <row r="1515" spans="7:10" ht="18.75" x14ac:dyDescent="0.3">
      <c r="G1515" s="473"/>
      <c r="H1515" s="473"/>
      <c r="I1515" s="473"/>
    </row>
    <row r="1516" spans="7:10" ht="18.75" x14ac:dyDescent="0.3">
      <c r="G1516" s="473"/>
      <c r="H1516" s="473"/>
      <c r="I1516" s="473"/>
    </row>
    <row r="1517" spans="7:10" ht="18.75" x14ac:dyDescent="0.3">
      <c r="G1517" s="473"/>
      <c r="H1517" s="473"/>
      <c r="I1517" s="473"/>
      <c r="J1517" s="281"/>
    </row>
    <row r="1518" spans="7:10" x14ac:dyDescent="0.25">
      <c r="J1518" s="281"/>
    </row>
  </sheetData>
  <mergeCells count="16">
    <mergeCell ref="H3:I3"/>
    <mergeCell ref="H2:I2"/>
    <mergeCell ref="H1:I1"/>
    <mergeCell ref="E3:G3"/>
    <mergeCell ref="E2:G2"/>
    <mergeCell ref="E1:G1"/>
    <mergeCell ref="A5:I5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142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3"/>
  <sheetViews>
    <sheetView view="pageBreakPreview" zoomScale="80" zoomScaleNormal="79" zoomScaleSheetLayoutView="80" workbookViewId="0">
      <selection activeCell="H1" sqref="H1:I3"/>
    </sheetView>
  </sheetViews>
  <sheetFormatPr defaultRowHeight="15" x14ac:dyDescent="0.25"/>
  <cols>
    <col min="1" max="1" width="52.28515625" style="230" customWidth="1"/>
    <col min="2" max="2" width="17.42578125" style="231" customWidth="1"/>
    <col min="3" max="3" width="8.28515625" style="231" customWidth="1"/>
    <col min="4" max="4" width="7.28515625" style="231" customWidth="1"/>
    <col min="5" max="5" width="8.7109375" style="231" customWidth="1"/>
    <col min="6" max="6" width="6.5703125" style="235" customWidth="1"/>
    <col min="7" max="7" width="13.7109375" style="442" customWidth="1"/>
    <col min="8" max="8" width="11.5703125" style="232" customWidth="1"/>
    <col min="9" max="9" width="12.5703125" style="232" customWidth="1"/>
    <col min="10" max="10" width="11.85546875" style="125" customWidth="1"/>
    <col min="11" max="13" width="9.140625" style="125" customWidth="1"/>
    <col min="14" max="14" width="11.5703125" style="125" customWidth="1"/>
  </cols>
  <sheetData>
    <row r="1" spans="1:14" ht="15.75" x14ac:dyDescent="0.25">
      <c r="F1" s="609"/>
      <c r="G1" s="609"/>
      <c r="H1" s="630" t="s">
        <v>73</v>
      </c>
      <c r="I1" s="630"/>
    </row>
    <row r="2" spans="1:14" ht="15.75" x14ac:dyDescent="0.25">
      <c r="F2" s="609"/>
      <c r="G2" s="609"/>
      <c r="H2" s="630" t="s">
        <v>1049</v>
      </c>
      <c r="I2" s="630"/>
    </row>
    <row r="3" spans="1:14" ht="15.75" x14ac:dyDescent="0.25">
      <c r="F3" s="593"/>
      <c r="G3" s="593"/>
      <c r="H3" s="630" t="s">
        <v>1162</v>
      </c>
      <c r="I3" s="630"/>
    </row>
    <row r="4" spans="1:14" s="75" customFormat="1" ht="15.75" x14ac:dyDescent="0.25">
      <c r="A4" s="230"/>
      <c r="B4" s="231"/>
      <c r="C4" s="231"/>
      <c r="D4" s="231"/>
      <c r="E4" s="231"/>
      <c r="F4" s="226"/>
      <c r="G4" s="438"/>
      <c r="H4" s="298"/>
      <c r="I4" s="298"/>
      <c r="J4" s="125"/>
      <c r="K4" s="125"/>
      <c r="L4" s="125"/>
      <c r="M4" s="125"/>
      <c r="N4" s="125"/>
    </row>
    <row r="5" spans="1:14" ht="38.25" customHeight="1" x14ac:dyDescent="0.25">
      <c r="A5" s="600" t="s">
        <v>1133</v>
      </c>
      <c r="B5" s="600"/>
      <c r="C5" s="600"/>
      <c r="D5" s="600"/>
      <c r="E5" s="600"/>
      <c r="F5" s="600"/>
      <c r="G5" s="600"/>
      <c r="H5" s="600"/>
      <c r="I5" s="600"/>
    </row>
    <row r="6" spans="1:14" ht="15.75" x14ac:dyDescent="0.25">
      <c r="A6" s="33"/>
      <c r="B6" s="33"/>
      <c r="C6" s="33"/>
      <c r="D6" s="33"/>
      <c r="E6" s="35"/>
      <c r="F6" s="227"/>
      <c r="G6" s="439"/>
      <c r="H6" s="92"/>
      <c r="I6" s="92"/>
    </row>
    <row r="7" spans="1:14" s="131" customFormat="1" x14ac:dyDescent="0.25">
      <c r="A7" s="598" t="s">
        <v>234</v>
      </c>
      <c r="B7" s="598" t="s">
        <v>983</v>
      </c>
      <c r="C7" s="598" t="s">
        <v>76</v>
      </c>
      <c r="D7" s="598" t="s">
        <v>77</v>
      </c>
      <c r="E7" s="598" t="s">
        <v>79</v>
      </c>
      <c r="F7" s="598" t="s">
        <v>984</v>
      </c>
      <c r="G7" s="601" t="s">
        <v>1127</v>
      </c>
      <c r="H7" s="601" t="s">
        <v>1128</v>
      </c>
      <c r="I7" s="601" t="s">
        <v>1129</v>
      </c>
      <c r="J7" s="125"/>
      <c r="K7" s="125"/>
      <c r="L7" s="125"/>
      <c r="M7" s="125"/>
      <c r="N7" s="125"/>
    </row>
    <row r="8" spans="1:14" ht="39" customHeight="1" x14ac:dyDescent="0.25">
      <c r="A8" s="598"/>
      <c r="B8" s="598"/>
      <c r="C8" s="598"/>
      <c r="D8" s="598"/>
      <c r="E8" s="598"/>
      <c r="F8" s="598"/>
      <c r="G8" s="602"/>
      <c r="H8" s="602"/>
      <c r="I8" s="602"/>
    </row>
    <row r="9" spans="1:14" s="131" customFormat="1" ht="47.25" x14ac:dyDescent="0.25">
      <c r="A9" s="22" t="s">
        <v>881</v>
      </c>
      <c r="B9" s="117" t="s">
        <v>204</v>
      </c>
      <c r="C9" s="299"/>
      <c r="D9" s="299"/>
      <c r="E9" s="299"/>
      <c r="F9" s="299"/>
      <c r="G9" s="441">
        <f>G10+G17</f>
        <v>8038.6579999999985</v>
      </c>
      <c r="H9" s="441">
        <f>H10+H17</f>
        <v>8038.6580000000004</v>
      </c>
      <c r="I9" s="221">
        <f>H9/G9*100</f>
        <v>100.00000000000003</v>
      </c>
      <c r="J9" s="125"/>
      <c r="K9" s="125"/>
      <c r="L9" s="125"/>
      <c r="M9" s="125"/>
      <c r="N9" s="125"/>
    </row>
    <row r="10" spans="1:14" s="131" customFormat="1" ht="31.5" hidden="1" x14ac:dyDescent="0.25">
      <c r="A10" s="22" t="s">
        <v>428</v>
      </c>
      <c r="B10" s="6" t="s">
        <v>389</v>
      </c>
      <c r="C10" s="117"/>
      <c r="D10" s="299"/>
      <c r="E10" s="299"/>
      <c r="F10" s="299"/>
      <c r="G10" s="441">
        <f t="shared" ref="G10:H14" si="0">G11</f>
        <v>0</v>
      </c>
      <c r="H10" s="441">
        <f t="shared" si="0"/>
        <v>0</v>
      </c>
      <c r="I10" s="221" t="e">
        <f t="shared" ref="I10:I14" si="1">I11</f>
        <v>#DIV/0!</v>
      </c>
      <c r="J10" s="125"/>
      <c r="K10" s="125"/>
      <c r="L10" s="125"/>
      <c r="M10" s="125"/>
      <c r="N10" s="125"/>
    </row>
    <row r="11" spans="1:14" s="131" customFormat="1" ht="15.75" hidden="1" x14ac:dyDescent="0.25">
      <c r="A11" s="19" t="s">
        <v>127</v>
      </c>
      <c r="B11" s="217" t="s">
        <v>389</v>
      </c>
      <c r="C11" s="218" t="s">
        <v>103</v>
      </c>
      <c r="D11" s="299"/>
      <c r="E11" s="299"/>
      <c r="F11" s="299"/>
      <c r="G11" s="440">
        <f t="shared" si="0"/>
        <v>0</v>
      </c>
      <c r="H11" s="440">
        <f t="shared" si="0"/>
        <v>0</v>
      </c>
      <c r="I11" s="221" t="e">
        <f t="shared" si="1"/>
        <v>#DIV/0!</v>
      </c>
      <c r="J11" s="125"/>
      <c r="K11" s="125"/>
      <c r="L11" s="125"/>
      <c r="M11" s="125"/>
      <c r="N11" s="125"/>
    </row>
    <row r="12" spans="1:14" s="131" customFormat="1" ht="15.75" hidden="1" x14ac:dyDescent="0.25">
      <c r="A12" s="19" t="s">
        <v>203</v>
      </c>
      <c r="B12" s="217" t="s">
        <v>389</v>
      </c>
      <c r="C12" s="218" t="s">
        <v>103</v>
      </c>
      <c r="D12" s="8" t="s">
        <v>122</v>
      </c>
      <c r="E12" s="299"/>
      <c r="F12" s="299"/>
      <c r="G12" s="440">
        <f t="shared" si="0"/>
        <v>0</v>
      </c>
      <c r="H12" s="440">
        <f t="shared" si="0"/>
        <v>0</v>
      </c>
      <c r="I12" s="221" t="e">
        <f t="shared" si="1"/>
        <v>#DIV/0!</v>
      </c>
      <c r="J12" s="125"/>
      <c r="K12" s="125"/>
      <c r="L12" s="125"/>
      <c r="M12" s="125"/>
      <c r="N12" s="125"/>
    </row>
    <row r="13" spans="1:14" s="131" customFormat="1" ht="15.75" hidden="1" x14ac:dyDescent="0.25">
      <c r="A13" s="19" t="s">
        <v>430</v>
      </c>
      <c r="B13" s="217" t="s">
        <v>429</v>
      </c>
      <c r="C13" s="218" t="s">
        <v>103</v>
      </c>
      <c r="D13" s="8" t="s">
        <v>122</v>
      </c>
      <c r="E13" s="299"/>
      <c r="F13" s="299"/>
      <c r="G13" s="440">
        <f t="shared" si="0"/>
        <v>0</v>
      </c>
      <c r="H13" s="440">
        <f t="shared" si="0"/>
        <v>0</v>
      </c>
      <c r="I13" s="221" t="e">
        <f t="shared" si="1"/>
        <v>#DIV/0!</v>
      </c>
      <c r="J13" s="125"/>
      <c r="K13" s="125"/>
      <c r="L13" s="125"/>
      <c r="M13" s="125"/>
      <c r="N13" s="125"/>
    </row>
    <row r="14" spans="1:14" s="131" customFormat="1" ht="31.5" hidden="1" x14ac:dyDescent="0.25">
      <c r="A14" s="215" t="s">
        <v>88</v>
      </c>
      <c r="B14" s="217" t="s">
        <v>429</v>
      </c>
      <c r="C14" s="218" t="s">
        <v>103</v>
      </c>
      <c r="D14" s="8" t="s">
        <v>122</v>
      </c>
      <c r="E14" s="299">
        <v>200</v>
      </c>
      <c r="F14" s="299"/>
      <c r="G14" s="440">
        <f t="shared" si="0"/>
        <v>0</v>
      </c>
      <c r="H14" s="440">
        <f t="shared" si="0"/>
        <v>0</v>
      </c>
      <c r="I14" s="221" t="e">
        <f t="shared" si="1"/>
        <v>#DIV/0!</v>
      </c>
      <c r="J14" s="125"/>
      <c r="K14" s="125"/>
      <c r="L14" s="125"/>
      <c r="M14" s="125"/>
      <c r="N14" s="125"/>
    </row>
    <row r="15" spans="1:14" s="131" customFormat="1" ht="47.25" hidden="1" x14ac:dyDescent="0.25">
      <c r="A15" s="215" t="s">
        <v>90</v>
      </c>
      <c r="B15" s="217" t="s">
        <v>429</v>
      </c>
      <c r="C15" s="218" t="s">
        <v>103</v>
      </c>
      <c r="D15" s="8" t="s">
        <v>122</v>
      </c>
      <c r="E15" s="299">
        <v>240</v>
      </c>
      <c r="F15" s="299"/>
      <c r="G15" s="440">
        <f>'Пр.4 Ведом23'!G1137</f>
        <v>0</v>
      </c>
      <c r="H15" s="440">
        <f>'Пр.4 Ведом23'!H1137</f>
        <v>0</v>
      </c>
      <c r="I15" s="221" t="e">
        <f>'Пр.4 Ведом23'!I1137</f>
        <v>#DIV/0!</v>
      </c>
      <c r="J15" s="125"/>
      <c r="K15" s="125"/>
      <c r="L15" s="125"/>
      <c r="M15" s="125"/>
      <c r="N15" s="125"/>
    </row>
    <row r="16" spans="1:14" s="131" customFormat="1" ht="31.5" hidden="1" x14ac:dyDescent="0.25">
      <c r="A16" s="26" t="s">
        <v>235</v>
      </c>
      <c r="B16" s="217" t="s">
        <v>431</v>
      </c>
      <c r="C16" s="217" t="s">
        <v>103</v>
      </c>
      <c r="D16" s="8" t="s">
        <v>122</v>
      </c>
      <c r="E16" s="217" t="s">
        <v>91</v>
      </c>
      <c r="F16" s="217" t="s">
        <v>236</v>
      </c>
      <c r="G16" s="440">
        <f>G15</f>
        <v>0</v>
      </c>
      <c r="H16" s="440">
        <f>H15</f>
        <v>0</v>
      </c>
      <c r="I16" s="221" t="e">
        <f t="shared" ref="I16" si="2">I15</f>
        <v>#DIV/0!</v>
      </c>
      <c r="J16" s="125"/>
      <c r="K16" s="125"/>
      <c r="L16" s="125"/>
      <c r="M16" s="125"/>
      <c r="N16" s="125"/>
    </row>
    <row r="17" spans="1:14" s="131" customFormat="1" ht="31.5" x14ac:dyDescent="0.25">
      <c r="A17" s="22" t="s">
        <v>480</v>
      </c>
      <c r="B17" s="117" t="s">
        <v>390</v>
      </c>
      <c r="C17" s="117"/>
      <c r="D17" s="299"/>
      <c r="E17" s="299"/>
      <c r="F17" s="299"/>
      <c r="G17" s="441">
        <f>G18</f>
        <v>8038.6579999999985</v>
      </c>
      <c r="H17" s="441">
        <f>H18</f>
        <v>8038.6580000000004</v>
      </c>
      <c r="I17" s="221">
        <f t="shared" ref="I17:I80" si="3">H17/G17*100</f>
        <v>100.00000000000003</v>
      </c>
      <c r="J17" s="125"/>
      <c r="K17" s="125"/>
      <c r="L17" s="125"/>
      <c r="M17" s="125"/>
      <c r="N17" s="125"/>
    </row>
    <row r="18" spans="1:14" s="131" customFormat="1" ht="15.75" x14ac:dyDescent="0.25">
      <c r="A18" s="19" t="s">
        <v>127</v>
      </c>
      <c r="B18" s="218" t="s">
        <v>390</v>
      </c>
      <c r="C18" s="218" t="s">
        <v>103</v>
      </c>
      <c r="D18" s="299"/>
      <c r="E18" s="299"/>
      <c r="F18" s="299"/>
      <c r="G18" s="440">
        <f>G19</f>
        <v>8038.6579999999985</v>
      </c>
      <c r="H18" s="440">
        <f>H19</f>
        <v>8038.6580000000004</v>
      </c>
      <c r="I18" s="102">
        <f t="shared" si="3"/>
        <v>100.00000000000003</v>
      </c>
      <c r="J18" s="125"/>
      <c r="K18" s="125"/>
      <c r="L18" s="125"/>
      <c r="M18" s="125"/>
      <c r="N18" s="125"/>
    </row>
    <row r="19" spans="1:14" s="131" customFormat="1" ht="15.75" x14ac:dyDescent="0.25">
      <c r="A19" s="19" t="s">
        <v>203</v>
      </c>
      <c r="B19" s="218" t="s">
        <v>390</v>
      </c>
      <c r="C19" s="218" t="s">
        <v>103</v>
      </c>
      <c r="D19" s="8" t="s">
        <v>122</v>
      </c>
      <c r="E19" s="299"/>
      <c r="F19" s="299"/>
      <c r="G19" s="440">
        <f>G20+G30</f>
        <v>8038.6579999999985</v>
      </c>
      <c r="H19" s="440">
        <f>H20+H30</f>
        <v>8038.6580000000004</v>
      </c>
      <c r="I19" s="102">
        <f t="shared" si="3"/>
        <v>100.00000000000003</v>
      </c>
      <c r="J19" s="125"/>
      <c r="K19" s="125"/>
      <c r="L19" s="125"/>
      <c r="M19" s="125"/>
      <c r="N19" s="125"/>
    </row>
    <row r="20" spans="1:14" s="131" customFormat="1" ht="15.75" x14ac:dyDescent="0.25">
      <c r="A20" s="19" t="s">
        <v>205</v>
      </c>
      <c r="B20" s="217" t="s">
        <v>431</v>
      </c>
      <c r="C20" s="218" t="s">
        <v>103</v>
      </c>
      <c r="D20" s="8" t="s">
        <v>122</v>
      </c>
      <c r="E20" s="299"/>
      <c r="F20" s="299"/>
      <c r="G20" s="440">
        <f>G21+G24+G27</f>
        <v>8038.6579999999985</v>
      </c>
      <c r="H20" s="440">
        <f>H21+H24+H27</f>
        <v>8038.6580000000004</v>
      </c>
      <c r="I20" s="102">
        <f t="shared" si="3"/>
        <v>100.00000000000003</v>
      </c>
      <c r="J20" s="125"/>
      <c r="K20" s="125"/>
      <c r="L20" s="125"/>
      <c r="M20" s="125"/>
      <c r="N20" s="125"/>
    </row>
    <row r="21" spans="1:14" s="131" customFormat="1" ht="78.75" hidden="1" x14ac:dyDescent="0.25">
      <c r="A21" s="215" t="s">
        <v>84</v>
      </c>
      <c r="B21" s="217" t="s">
        <v>431</v>
      </c>
      <c r="C21" s="218" t="s">
        <v>103</v>
      </c>
      <c r="D21" s="8" t="s">
        <v>122</v>
      </c>
      <c r="E21" s="299">
        <v>100</v>
      </c>
      <c r="F21" s="299"/>
      <c r="G21" s="440">
        <f>G22</f>
        <v>0</v>
      </c>
      <c r="H21" s="440">
        <f>H22</f>
        <v>0</v>
      </c>
      <c r="I21" s="102" t="e">
        <f t="shared" si="3"/>
        <v>#DIV/0!</v>
      </c>
      <c r="J21" s="125"/>
      <c r="K21" s="125"/>
      <c r="L21" s="125"/>
      <c r="M21" s="125"/>
      <c r="N21" s="125"/>
    </row>
    <row r="22" spans="1:14" s="131" customFormat="1" ht="31.5" hidden="1" x14ac:dyDescent="0.25">
      <c r="A22" s="215" t="s">
        <v>168</v>
      </c>
      <c r="B22" s="217" t="s">
        <v>431</v>
      </c>
      <c r="C22" s="218" t="s">
        <v>103</v>
      </c>
      <c r="D22" s="8" t="s">
        <v>122</v>
      </c>
      <c r="E22" s="299">
        <v>110</v>
      </c>
      <c r="F22" s="299"/>
      <c r="G22" s="440">
        <f>'Пр.4 Ведом23'!G1141</f>
        <v>0</v>
      </c>
      <c r="H22" s="440">
        <f>'Пр.4 Ведом23'!H1141</f>
        <v>0</v>
      </c>
      <c r="I22" s="102" t="e">
        <f t="shared" si="3"/>
        <v>#DIV/0!</v>
      </c>
      <c r="J22" s="125"/>
      <c r="K22" s="125"/>
      <c r="L22" s="125"/>
      <c r="M22" s="125"/>
      <c r="N22" s="125"/>
    </row>
    <row r="23" spans="1:14" s="131" customFormat="1" ht="47.25" hidden="1" x14ac:dyDescent="0.25">
      <c r="A23" s="26" t="s">
        <v>877</v>
      </c>
      <c r="B23" s="217" t="s">
        <v>431</v>
      </c>
      <c r="C23" s="217" t="s">
        <v>103</v>
      </c>
      <c r="D23" s="8" t="s">
        <v>122</v>
      </c>
      <c r="E23" s="217" t="s">
        <v>117</v>
      </c>
      <c r="F23" s="217" t="s">
        <v>236</v>
      </c>
      <c r="G23" s="440">
        <f>G22</f>
        <v>0</v>
      </c>
      <c r="H23" s="440">
        <f>H22</f>
        <v>0</v>
      </c>
      <c r="I23" s="102" t="e">
        <f t="shared" si="3"/>
        <v>#DIV/0!</v>
      </c>
      <c r="J23" s="125"/>
      <c r="K23" s="125"/>
      <c r="L23" s="125"/>
      <c r="M23" s="125"/>
      <c r="N23" s="125"/>
    </row>
    <row r="24" spans="1:14" s="131" customFormat="1" ht="31.5" x14ac:dyDescent="0.25">
      <c r="A24" s="215" t="s">
        <v>88</v>
      </c>
      <c r="B24" s="217" t="s">
        <v>431</v>
      </c>
      <c r="C24" s="218" t="s">
        <v>103</v>
      </c>
      <c r="D24" s="8" t="s">
        <v>122</v>
      </c>
      <c r="E24" s="299">
        <v>200</v>
      </c>
      <c r="F24" s="299"/>
      <c r="G24" s="440">
        <f>G25</f>
        <v>8038.6579999999985</v>
      </c>
      <c r="H24" s="440">
        <f>H25</f>
        <v>8038.6580000000004</v>
      </c>
      <c r="I24" s="102">
        <f t="shared" si="3"/>
        <v>100.00000000000003</v>
      </c>
      <c r="J24" s="125"/>
      <c r="K24" s="125"/>
      <c r="L24" s="125"/>
      <c r="M24" s="125"/>
      <c r="N24" s="125"/>
    </row>
    <row r="25" spans="1:14" s="131" customFormat="1" ht="47.25" x14ac:dyDescent="0.25">
      <c r="A25" s="215" t="s">
        <v>90</v>
      </c>
      <c r="B25" s="217" t="s">
        <v>431</v>
      </c>
      <c r="C25" s="218" t="s">
        <v>103</v>
      </c>
      <c r="D25" s="8" t="s">
        <v>122</v>
      </c>
      <c r="E25" s="299">
        <v>240</v>
      </c>
      <c r="F25" s="299"/>
      <c r="G25" s="440">
        <f>'Пр.4 Ведом23'!G1143</f>
        <v>8038.6579999999985</v>
      </c>
      <c r="H25" s="440">
        <f>'Пр.4 Ведом23'!H1143</f>
        <v>8038.6580000000004</v>
      </c>
      <c r="I25" s="102">
        <f t="shared" si="3"/>
        <v>100.00000000000003</v>
      </c>
      <c r="J25" s="125"/>
      <c r="K25" s="125"/>
      <c r="L25" s="125"/>
      <c r="M25" s="125"/>
      <c r="N25" s="125"/>
    </row>
    <row r="26" spans="1:14" s="131" customFormat="1" ht="47.25" x14ac:dyDescent="0.25">
      <c r="A26" s="26" t="s">
        <v>877</v>
      </c>
      <c r="B26" s="217" t="s">
        <v>431</v>
      </c>
      <c r="C26" s="218" t="s">
        <v>103</v>
      </c>
      <c r="D26" s="8" t="s">
        <v>122</v>
      </c>
      <c r="E26" s="299">
        <v>240</v>
      </c>
      <c r="F26" s="299">
        <v>908</v>
      </c>
      <c r="G26" s="440">
        <f>G25</f>
        <v>8038.6579999999985</v>
      </c>
      <c r="H26" s="440">
        <f>H25</f>
        <v>8038.6580000000004</v>
      </c>
      <c r="I26" s="102">
        <f t="shared" si="3"/>
        <v>100.00000000000003</v>
      </c>
      <c r="J26" s="125"/>
      <c r="K26" s="125"/>
      <c r="L26" s="233"/>
      <c r="M26" s="125"/>
      <c r="N26" s="125"/>
    </row>
    <row r="27" spans="1:14" s="131" customFormat="1" ht="15.75" hidden="1" x14ac:dyDescent="0.25">
      <c r="A27" s="215" t="s">
        <v>92</v>
      </c>
      <c r="B27" s="217" t="s">
        <v>431</v>
      </c>
      <c r="C27" s="218" t="s">
        <v>103</v>
      </c>
      <c r="D27" s="8" t="s">
        <v>122</v>
      </c>
      <c r="E27" s="299">
        <v>800</v>
      </c>
      <c r="F27" s="299"/>
      <c r="G27" s="440">
        <f>G28</f>
        <v>0</v>
      </c>
      <c r="H27" s="440">
        <f>H28</f>
        <v>0</v>
      </c>
      <c r="I27" s="102" t="e">
        <f t="shared" si="3"/>
        <v>#DIV/0!</v>
      </c>
      <c r="J27" s="125"/>
      <c r="K27" s="125"/>
      <c r="L27" s="125"/>
      <c r="M27" s="125"/>
      <c r="N27" s="125"/>
    </row>
    <row r="28" spans="1:14" s="131" customFormat="1" ht="15.75" hidden="1" x14ac:dyDescent="0.25">
      <c r="A28" s="215" t="s">
        <v>223</v>
      </c>
      <c r="B28" s="217" t="s">
        <v>431</v>
      </c>
      <c r="C28" s="217" t="s">
        <v>103</v>
      </c>
      <c r="D28" s="8" t="s">
        <v>122</v>
      </c>
      <c r="E28" s="299">
        <v>850</v>
      </c>
      <c r="F28" s="299"/>
      <c r="G28" s="440">
        <f>'Пр.4 Ведом23'!G1145</f>
        <v>0</v>
      </c>
      <c r="H28" s="440">
        <f>'Пр.4 Ведом23'!H1145</f>
        <v>0</v>
      </c>
      <c r="I28" s="102" t="e">
        <f t="shared" si="3"/>
        <v>#DIV/0!</v>
      </c>
      <c r="J28" s="125"/>
      <c r="K28" s="125"/>
      <c r="L28" s="125"/>
      <c r="M28" s="125"/>
      <c r="N28" s="125"/>
    </row>
    <row r="29" spans="1:14" s="131" customFormat="1" ht="31.5" hidden="1" x14ac:dyDescent="0.25">
      <c r="A29" s="26" t="s">
        <v>235</v>
      </c>
      <c r="B29" s="217" t="s">
        <v>431</v>
      </c>
      <c r="C29" s="217" t="s">
        <v>103</v>
      </c>
      <c r="D29" s="8" t="s">
        <v>122</v>
      </c>
      <c r="E29" s="299">
        <v>850</v>
      </c>
      <c r="F29" s="299">
        <v>908</v>
      </c>
      <c r="G29" s="440">
        <f>G28</f>
        <v>0</v>
      </c>
      <c r="H29" s="440">
        <f>H28</f>
        <v>0</v>
      </c>
      <c r="I29" s="102" t="e">
        <f t="shared" si="3"/>
        <v>#DIV/0!</v>
      </c>
      <c r="J29" s="125"/>
      <c r="K29" s="125"/>
      <c r="L29" s="125"/>
      <c r="M29" s="125"/>
      <c r="N29" s="125"/>
    </row>
    <row r="30" spans="1:14" s="131" customFormat="1" ht="15.75" hidden="1" x14ac:dyDescent="0.25">
      <c r="A30" s="66" t="s">
        <v>868</v>
      </c>
      <c r="B30" s="217" t="s">
        <v>869</v>
      </c>
      <c r="C30" s="217" t="s">
        <v>103</v>
      </c>
      <c r="D30" s="8" t="s">
        <v>122</v>
      </c>
      <c r="E30" s="299"/>
      <c r="F30" s="299"/>
      <c r="G30" s="440">
        <f>G31</f>
        <v>0</v>
      </c>
      <c r="H30" s="440">
        <f>H31</f>
        <v>0</v>
      </c>
      <c r="I30" s="102" t="e">
        <f t="shared" si="3"/>
        <v>#DIV/0!</v>
      </c>
      <c r="J30" s="125"/>
      <c r="K30" s="125"/>
      <c r="L30" s="125"/>
      <c r="M30" s="125"/>
      <c r="N30" s="125"/>
    </row>
    <row r="31" spans="1:14" s="131" customFormat="1" ht="31.5" hidden="1" x14ac:dyDescent="0.25">
      <c r="A31" s="215" t="s">
        <v>88</v>
      </c>
      <c r="B31" s="217" t="s">
        <v>869</v>
      </c>
      <c r="C31" s="217" t="s">
        <v>103</v>
      </c>
      <c r="D31" s="8" t="s">
        <v>122</v>
      </c>
      <c r="E31" s="299">
        <v>200</v>
      </c>
      <c r="F31" s="299"/>
      <c r="G31" s="440">
        <f>G32</f>
        <v>0</v>
      </c>
      <c r="H31" s="440">
        <f>H32</f>
        <v>0</v>
      </c>
      <c r="I31" s="102" t="e">
        <f t="shared" si="3"/>
        <v>#DIV/0!</v>
      </c>
      <c r="J31" s="125"/>
      <c r="K31" s="125"/>
      <c r="L31" s="125"/>
      <c r="M31" s="125"/>
      <c r="N31" s="125"/>
    </row>
    <row r="32" spans="1:14" s="131" customFormat="1" ht="47.25" hidden="1" x14ac:dyDescent="0.25">
      <c r="A32" s="215" t="s">
        <v>90</v>
      </c>
      <c r="B32" s="217" t="s">
        <v>869</v>
      </c>
      <c r="C32" s="217" t="s">
        <v>103</v>
      </c>
      <c r="D32" s="8" t="s">
        <v>122</v>
      </c>
      <c r="E32" s="299">
        <v>240</v>
      </c>
      <c r="F32" s="299"/>
      <c r="G32" s="440">
        <f>'Пр.4 Ведом23'!G1148</f>
        <v>0</v>
      </c>
      <c r="H32" s="440">
        <f>'Пр.4 Ведом23'!H1148</f>
        <v>0</v>
      </c>
      <c r="I32" s="102" t="e">
        <f t="shared" si="3"/>
        <v>#DIV/0!</v>
      </c>
      <c r="J32" s="125"/>
      <c r="K32" s="125"/>
      <c r="L32" s="125"/>
      <c r="M32" s="125"/>
      <c r="N32" s="125"/>
    </row>
    <row r="33" spans="1:14" s="131" customFormat="1" ht="47.25" hidden="1" x14ac:dyDescent="0.25">
      <c r="A33" s="26" t="s">
        <v>877</v>
      </c>
      <c r="B33" s="217" t="s">
        <v>869</v>
      </c>
      <c r="C33" s="217" t="s">
        <v>103</v>
      </c>
      <c r="D33" s="8" t="s">
        <v>122</v>
      </c>
      <c r="E33" s="299">
        <v>240</v>
      </c>
      <c r="F33" s="299">
        <v>908</v>
      </c>
      <c r="G33" s="440">
        <f>G32</f>
        <v>0</v>
      </c>
      <c r="H33" s="440">
        <f>H32</f>
        <v>0</v>
      </c>
      <c r="I33" s="102" t="e">
        <f t="shared" si="3"/>
        <v>#DIV/0!</v>
      </c>
      <c r="J33" s="125"/>
      <c r="K33" s="125"/>
      <c r="L33" s="125"/>
      <c r="M33" s="125"/>
      <c r="N33" s="125"/>
    </row>
    <row r="34" spans="1:14" s="131" customFormat="1" ht="47.25" x14ac:dyDescent="0.25">
      <c r="A34" s="116" t="s">
        <v>882</v>
      </c>
      <c r="B34" s="74" t="s">
        <v>169</v>
      </c>
      <c r="C34" s="74"/>
      <c r="D34" s="74"/>
      <c r="E34" s="74"/>
      <c r="F34" s="74"/>
      <c r="G34" s="441">
        <f>G35+G80+G88+G117+G144</f>
        <v>4092.1763699999997</v>
      </c>
      <c r="H34" s="441">
        <f>H35+H80+H88+H117+H144</f>
        <v>4091.5940799999998</v>
      </c>
      <c r="I34" s="221">
        <f t="shared" si="3"/>
        <v>99.985770652402266</v>
      </c>
      <c r="J34" s="125"/>
      <c r="K34" s="125"/>
      <c r="L34" s="125"/>
      <c r="M34" s="125"/>
      <c r="N34" s="125"/>
    </row>
    <row r="35" spans="1:14" s="131" customFormat="1" ht="31.5" x14ac:dyDescent="0.25">
      <c r="A35" s="116" t="s">
        <v>170</v>
      </c>
      <c r="B35" s="117" t="s">
        <v>171</v>
      </c>
      <c r="C35" s="117"/>
      <c r="D35" s="299"/>
      <c r="E35" s="299"/>
      <c r="F35" s="299"/>
      <c r="G35" s="441">
        <f>G36+G63+G73</f>
        <v>1862.0594499999997</v>
      </c>
      <c r="H35" s="441">
        <f>H36+H63+H73</f>
        <v>1861.4781600000001</v>
      </c>
      <c r="I35" s="221">
        <f t="shared" si="3"/>
        <v>99.968782414546453</v>
      </c>
      <c r="J35" s="125"/>
      <c r="K35" s="125"/>
      <c r="L35" s="125"/>
      <c r="M35" s="125"/>
      <c r="N35" s="125"/>
    </row>
    <row r="36" spans="1:14" s="131" customFormat="1" ht="63" x14ac:dyDescent="0.25">
      <c r="A36" s="30" t="s">
        <v>454</v>
      </c>
      <c r="B36" s="117" t="s">
        <v>343</v>
      </c>
      <c r="C36" s="117"/>
      <c r="D36" s="299"/>
      <c r="E36" s="299"/>
      <c r="F36" s="299"/>
      <c r="G36" s="441">
        <f>G37</f>
        <v>1419.4672499999999</v>
      </c>
      <c r="H36" s="441">
        <f>H37</f>
        <v>1418.8859600000001</v>
      </c>
      <c r="I36" s="221">
        <f t="shared" si="3"/>
        <v>99.959048720567537</v>
      </c>
      <c r="J36" s="125"/>
      <c r="K36" s="125"/>
      <c r="L36" s="125"/>
      <c r="M36" s="125"/>
      <c r="N36" s="125"/>
    </row>
    <row r="37" spans="1:14" s="131" customFormat="1" ht="15.75" x14ac:dyDescent="0.25">
      <c r="A37" s="215" t="s">
        <v>144</v>
      </c>
      <c r="B37" s="218" t="s">
        <v>343</v>
      </c>
      <c r="C37" s="218" t="s">
        <v>145</v>
      </c>
      <c r="D37" s="299"/>
      <c r="E37" s="299"/>
      <c r="F37" s="299"/>
      <c r="G37" s="440">
        <f>G38</f>
        <v>1419.4672499999999</v>
      </c>
      <c r="H37" s="440">
        <f>H38</f>
        <v>1418.8859600000001</v>
      </c>
      <c r="I37" s="102">
        <f t="shared" si="3"/>
        <v>99.959048720567537</v>
      </c>
      <c r="J37" s="125"/>
      <c r="K37" s="125"/>
      <c r="L37" s="125"/>
      <c r="M37" s="125"/>
      <c r="N37" s="125"/>
    </row>
    <row r="38" spans="1:14" s="131" customFormat="1" ht="15.75" x14ac:dyDescent="0.25">
      <c r="A38" s="26" t="s">
        <v>1009</v>
      </c>
      <c r="B38" s="218" t="s">
        <v>343</v>
      </c>
      <c r="C38" s="218" t="s">
        <v>145</v>
      </c>
      <c r="D38" s="8" t="s">
        <v>145</v>
      </c>
      <c r="E38" s="299"/>
      <c r="F38" s="299"/>
      <c r="G38" s="440">
        <f>G39+G47+G51+G55+G59+G43</f>
        <v>1419.4672499999999</v>
      </c>
      <c r="H38" s="440">
        <f>H39+H47+H51+H55+H59+H43</f>
        <v>1418.8859600000001</v>
      </c>
      <c r="I38" s="102">
        <f t="shared" si="3"/>
        <v>99.959048720567537</v>
      </c>
      <c r="J38" s="125"/>
      <c r="K38" s="125"/>
      <c r="L38" s="125"/>
      <c r="M38" s="125"/>
      <c r="N38" s="125"/>
    </row>
    <row r="39" spans="1:14" s="131" customFormat="1" ht="31.5" hidden="1" x14ac:dyDescent="0.25">
      <c r="A39" s="26" t="s">
        <v>460</v>
      </c>
      <c r="B39" s="218" t="s">
        <v>344</v>
      </c>
      <c r="C39" s="218" t="s">
        <v>145</v>
      </c>
      <c r="D39" s="8" t="s">
        <v>145</v>
      </c>
      <c r="E39" s="299"/>
      <c r="F39" s="299"/>
      <c r="G39" s="440">
        <f>G40</f>
        <v>0</v>
      </c>
      <c r="H39" s="440">
        <f>H40</f>
        <v>0</v>
      </c>
      <c r="I39" s="102" t="e">
        <f t="shared" si="3"/>
        <v>#DIV/0!</v>
      </c>
      <c r="J39" s="125"/>
      <c r="K39" s="125"/>
      <c r="L39" s="125"/>
      <c r="M39" s="125"/>
      <c r="N39" s="125"/>
    </row>
    <row r="40" spans="1:14" s="131" customFormat="1" ht="78.75" hidden="1" x14ac:dyDescent="0.25">
      <c r="A40" s="215" t="s">
        <v>84</v>
      </c>
      <c r="B40" s="218" t="s">
        <v>344</v>
      </c>
      <c r="C40" s="218" t="s">
        <v>145</v>
      </c>
      <c r="D40" s="8" t="s">
        <v>145</v>
      </c>
      <c r="E40" s="299">
        <v>100</v>
      </c>
      <c r="F40" s="299"/>
      <c r="G40" s="440">
        <f>G41</f>
        <v>0</v>
      </c>
      <c r="H40" s="440">
        <f>H41</f>
        <v>0</v>
      </c>
      <c r="I40" s="102" t="e">
        <f t="shared" si="3"/>
        <v>#DIV/0!</v>
      </c>
      <c r="J40" s="125"/>
      <c r="K40" s="125"/>
      <c r="L40" s="125"/>
      <c r="M40" s="125"/>
      <c r="N40" s="125"/>
    </row>
    <row r="41" spans="1:14" s="131" customFormat="1" ht="31.5" hidden="1" x14ac:dyDescent="0.25">
      <c r="A41" s="215" t="s">
        <v>168</v>
      </c>
      <c r="B41" s="218" t="s">
        <v>344</v>
      </c>
      <c r="C41" s="218" t="s">
        <v>145</v>
      </c>
      <c r="D41" s="8" t="s">
        <v>145</v>
      </c>
      <c r="E41" s="299">
        <v>110</v>
      </c>
      <c r="F41" s="299"/>
      <c r="G41" s="440">
        <f>'Пр.4 Ведом23'!G414</f>
        <v>0</v>
      </c>
      <c r="H41" s="440">
        <f>'Пр.4 Ведом23'!H414</f>
        <v>0</v>
      </c>
      <c r="I41" s="102" t="e">
        <f t="shared" si="3"/>
        <v>#DIV/0!</v>
      </c>
      <c r="J41" s="125"/>
      <c r="K41" s="125"/>
      <c r="L41" s="125"/>
      <c r="M41" s="125"/>
      <c r="N41" s="125"/>
    </row>
    <row r="42" spans="1:14" s="131" customFormat="1" ht="47.25" hidden="1" x14ac:dyDescent="0.25">
      <c r="A42" s="26" t="s">
        <v>876</v>
      </c>
      <c r="B42" s="218" t="s">
        <v>344</v>
      </c>
      <c r="C42" s="218" t="s">
        <v>145</v>
      </c>
      <c r="D42" s="8" t="s">
        <v>145</v>
      </c>
      <c r="E42" s="299">
        <v>110</v>
      </c>
      <c r="F42" s="299">
        <v>903</v>
      </c>
      <c r="G42" s="440">
        <f>G41</f>
        <v>0</v>
      </c>
      <c r="H42" s="440">
        <f>H41</f>
        <v>0</v>
      </c>
      <c r="I42" s="102" t="e">
        <f t="shared" si="3"/>
        <v>#DIV/0!</v>
      </c>
      <c r="J42" s="125"/>
      <c r="K42" s="125"/>
      <c r="L42" s="125"/>
      <c r="M42" s="125"/>
      <c r="N42" s="125"/>
    </row>
    <row r="43" spans="1:14" s="131" customFormat="1" ht="36" customHeight="1" x14ac:dyDescent="0.25">
      <c r="A43" s="26" t="s">
        <v>460</v>
      </c>
      <c r="B43" s="218" t="s">
        <v>344</v>
      </c>
      <c r="C43" s="218" t="s">
        <v>145</v>
      </c>
      <c r="D43" s="8" t="s">
        <v>145</v>
      </c>
      <c r="E43" s="299"/>
      <c r="F43" s="299"/>
      <c r="G43" s="440">
        <f>G44</f>
        <v>21.398849999999996</v>
      </c>
      <c r="H43" s="440">
        <f>H44</f>
        <v>21.398849999999999</v>
      </c>
      <c r="I43" s="102">
        <f t="shared" si="3"/>
        <v>100.00000000000003</v>
      </c>
      <c r="J43" s="125"/>
      <c r="K43" s="125"/>
      <c r="L43" s="125"/>
      <c r="M43" s="125"/>
      <c r="N43" s="125"/>
    </row>
    <row r="44" spans="1:14" s="131" customFormat="1" ht="88.9" customHeight="1" x14ac:dyDescent="0.25">
      <c r="A44" s="26" t="s">
        <v>84</v>
      </c>
      <c r="B44" s="218" t="s">
        <v>344</v>
      </c>
      <c r="C44" s="218" t="s">
        <v>145</v>
      </c>
      <c r="D44" s="8" t="s">
        <v>145</v>
      </c>
      <c r="E44" s="299">
        <v>100</v>
      </c>
      <c r="F44" s="299"/>
      <c r="G44" s="440">
        <f>G45</f>
        <v>21.398849999999996</v>
      </c>
      <c r="H44" s="440">
        <f>H45</f>
        <v>21.398849999999999</v>
      </c>
      <c r="I44" s="102">
        <f t="shared" si="3"/>
        <v>100.00000000000003</v>
      </c>
      <c r="J44" s="125"/>
      <c r="K44" s="125"/>
      <c r="L44" s="125"/>
      <c r="M44" s="125"/>
      <c r="N44" s="125"/>
    </row>
    <row r="45" spans="1:14" s="131" customFormat="1" ht="32.450000000000003" customHeight="1" x14ac:dyDescent="0.25">
      <c r="A45" s="26" t="s">
        <v>168</v>
      </c>
      <c r="B45" s="218" t="s">
        <v>344</v>
      </c>
      <c r="C45" s="218" t="s">
        <v>145</v>
      </c>
      <c r="D45" s="8" t="s">
        <v>145</v>
      </c>
      <c r="E45" s="299">
        <v>110</v>
      </c>
      <c r="F45" s="299"/>
      <c r="G45" s="440">
        <f>'Пр.4 Ведом23'!G1385</f>
        <v>21.398849999999996</v>
      </c>
      <c r="H45" s="440">
        <f>'Пр.4 Ведом23'!H1385</f>
        <v>21.398849999999999</v>
      </c>
      <c r="I45" s="102">
        <f t="shared" si="3"/>
        <v>100.00000000000003</v>
      </c>
      <c r="J45" s="125"/>
      <c r="K45" s="125"/>
      <c r="L45" s="125"/>
      <c r="M45" s="125"/>
      <c r="N45" s="125"/>
    </row>
    <row r="46" spans="1:14" s="131" customFormat="1" ht="44.25" customHeight="1" x14ac:dyDescent="0.25">
      <c r="A46" s="26" t="s">
        <v>877</v>
      </c>
      <c r="B46" s="218" t="s">
        <v>344</v>
      </c>
      <c r="C46" s="218" t="s">
        <v>145</v>
      </c>
      <c r="D46" s="8" t="s">
        <v>145</v>
      </c>
      <c r="E46" s="299">
        <v>110</v>
      </c>
      <c r="F46" s="299">
        <v>908</v>
      </c>
      <c r="G46" s="440">
        <f>G45</f>
        <v>21.398849999999996</v>
      </c>
      <c r="H46" s="440">
        <f>H45</f>
        <v>21.398849999999999</v>
      </c>
      <c r="I46" s="102">
        <f t="shared" si="3"/>
        <v>100.00000000000003</v>
      </c>
      <c r="J46" s="125"/>
      <c r="K46" s="125"/>
      <c r="L46" s="125"/>
      <c r="M46" s="125"/>
      <c r="N46" s="125"/>
    </row>
    <row r="47" spans="1:14" s="131" customFormat="1" ht="31.5" hidden="1" x14ac:dyDescent="0.25">
      <c r="A47" s="215" t="s">
        <v>455</v>
      </c>
      <c r="B47" s="218" t="s">
        <v>469</v>
      </c>
      <c r="C47" s="218" t="s">
        <v>145</v>
      </c>
      <c r="D47" s="8" t="s">
        <v>145</v>
      </c>
      <c r="E47" s="299"/>
      <c r="F47" s="299"/>
      <c r="G47" s="440">
        <f>G48</f>
        <v>0</v>
      </c>
      <c r="H47" s="440">
        <f>H48</f>
        <v>0</v>
      </c>
      <c r="I47" s="102" t="e">
        <f t="shared" si="3"/>
        <v>#DIV/0!</v>
      </c>
      <c r="J47" s="125"/>
      <c r="K47" s="125"/>
      <c r="L47" s="125"/>
      <c r="M47" s="125"/>
      <c r="N47" s="125"/>
    </row>
    <row r="48" spans="1:14" s="131" customFormat="1" ht="31.5" hidden="1" x14ac:dyDescent="0.25">
      <c r="A48" s="215" t="s">
        <v>88</v>
      </c>
      <c r="B48" s="218" t="s">
        <v>469</v>
      </c>
      <c r="C48" s="218" t="s">
        <v>145</v>
      </c>
      <c r="D48" s="8" t="s">
        <v>145</v>
      </c>
      <c r="E48" s="299">
        <v>200</v>
      </c>
      <c r="F48" s="299"/>
      <c r="G48" s="440">
        <f>G49</f>
        <v>0</v>
      </c>
      <c r="H48" s="440">
        <f>H49</f>
        <v>0</v>
      </c>
      <c r="I48" s="102" t="e">
        <f t="shared" si="3"/>
        <v>#DIV/0!</v>
      </c>
      <c r="J48" s="125"/>
      <c r="K48" s="125"/>
      <c r="L48" s="125"/>
      <c r="M48" s="125"/>
      <c r="N48" s="125"/>
    </row>
    <row r="49" spans="1:14" s="131" customFormat="1" ht="47.25" hidden="1" x14ac:dyDescent="0.25">
      <c r="A49" s="215" t="s">
        <v>90</v>
      </c>
      <c r="B49" s="218" t="s">
        <v>469</v>
      </c>
      <c r="C49" s="218" t="s">
        <v>145</v>
      </c>
      <c r="D49" s="8" t="s">
        <v>145</v>
      </c>
      <c r="E49" s="299">
        <v>240</v>
      </c>
      <c r="F49" s="299"/>
      <c r="G49" s="440">
        <f>'Пр.4 Ведом23'!G417</f>
        <v>0</v>
      </c>
      <c r="H49" s="440">
        <f>'Пр.4 Ведом23'!H417</f>
        <v>0</v>
      </c>
      <c r="I49" s="102" t="e">
        <f t="shared" si="3"/>
        <v>#DIV/0!</v>
      </c>
      <c r="J49" s="125"/>
      <c r="K49" s="125"/>
      <c r="L49" s="125"/>
      <c r="M49" s="125"/>
      <c r="N49" s="125"/>
    </row>
    <row r="50" spans="1:14" s="131" customFormat="1" ht="47.25" hidden="1" x14ac:dyDescent="0.25">
      <c r="A50" s="26" t="s">
        <v>876</v>
      </c>
      <c r="B50" s="218" t="s">
        <v>469</v>
      </c>
      <c r="C50" s="218" t="s">
        <v>145</v>
      </c>
      <c r="D50" s="8" t="s">
        <v>145</v>
      </c>
      <c r="E50" s="299">
        <v>240</v>
      </c>
      <c r="F50" s="299">
        <v>903</v>
      </c>
      <c r="G50" s="440">
        <f>G49</f>
        <v>0</v>
      </c>
      <c r="H50" s="440">
        <f>H49</f>
        <v>0</v>
      </c>
      <c r="I50" s="102" t="e">
        <f t="shared" si="3"/>
        <v>#DIV/0!</v>
      </c>
      <c r="J50" s="125"/>
      <c r="K50" s="125"/>
      <c r="L50" s="125"/>
      <c r="M50" s="125"/>
      <c r="N50" s="125"/>
    </row>
    <row r="51" spans="1:14" s="131" customFormat="1" ht="31.5" x14ac:dyDescent="0.25">
      <c r="A51" s="215" t="s">
        <v>821</v>
      </c>
      <c r="B51" s="218" t="s">
        <v>822</v>
      </c>
      <c r="C51" s="218" t="s">
        <v>145</v>
      </c>
      <c r="D51" s="8" t="s">
        <v>145</v>
      </c>
      <c r="E51" s="299"/>
      <c r="F51" s="299"/>
      <c r="G51" s="440">
        <f>G52</f>
        <v>939.52377999999999</v>
      </c>
      <c r="H51" s="440">
        <f>H52</f>
        <v>939.52377999999999</v>
      </c>
      <c r="I51" s="102">
        <f t="shared" si="3"/>
        <v>100</v>
      </c>
      <c r="J51" s="125"/>
      <c r="K51" s="125"/>
      <c r="L51" s="125"/>
      <c r="M51" s="125"/>
      <c r="N51" s="125"/>
    </row>
    <row r="52" spans="1:14" s="131" customFormat="1" ht="47.25" x14ac:dyDescent="0.25">
      <c r="A52" s="215" t="s">
        <v>149</v>
      </c>
      <c r="B52" s="218" t="s">
        <v>822</v>
      </c>
      <c r="C52" s="218" t="s">
        <v>145</v>
      </c>
      <c r="D52" s="8" t="s">
        <v>145</v>
      </c>
      <c r="E52" s="299">
        <v>600</v>
      </c>
      <c r="F52" s="299"/>
      <c r="G52" s="440">
        <f>G53</f>
        <v>939.52377999999999</v>
      </c>
      <c r="H52" s="440">
        <f>H53</f>
        <v>939.52377999999999</v>
      </c>
      <c r="I52" s="102">
        <f t="shared" si="3"/>
        <v>100</v>
      </c>
      <c r="J52" s="125"/>
      <c r="K52" s="125"/>
      <c r="L52" s="125"/>
      <c r="M52" s="125"/>
      <c r="N52" s="125"/>
    </row>
    <row r="53" spans="1:14" s="131" customFormat="1" ht="24" customHeight="1" x14ac:dyDescent="0.25">
      <c r="A53" s="215" t="s">
        <v>151</v>
      </c>
      <c r="B53" s="218" t="s">
        <v>822</v>
      </c>
      <c r="C53" s="218" t="s">
        <v>145</v>
      </c>
      <c r="D53" s="8" t="s">
        <v>145</v>
      </c>
      <c r="E53" s="299">
        <v>610</v>
      </c>
      <c r="F53" s="299"/>
      <c r="G53" s="440">
        <f>'Пр.4 Ведом23'!G420</f>
        <v>939.52377999999999</v>
      </c>
      <c r="H53" s="440">
        <f>'Пр.4 Ведом23'!H420</f>
        <v>939.52377999999999</v>
      </c>
      <c r="I53" s="102">
        <f t="shared" si="3"/>
        <v>100</v>
      </c>
      <c r="J53" s="125"/>
      <c r="K53" s="125"/>
      <c r="L53" s="125"/>
      <c r="M53" s="125"/>
      <c r="N53" s="125"/>
    </row>
    <row r="54" spans="1:14" s="131" customFormat="1" ht="47.25" x14ac:dyDescent="0.25">
      <c r="A54" s="26" t="s">
        <v>876</v>
      </c>
      <c r="B54" s="218" t="s">
        <v>822</v>
      </c>
      <c r="C54" s="218" t="s">
        <v>145</v>
      </c>
      <c r="D54" s="8" t="s">
        <v>145</v>
      </c>
      <c r="E54" s="299">
        <v>610</v>
      </c>
      <c r="F54" s="299">
        <v>903</v>
      </c>
      <c r="G54" s="440">
        <f>G53</f>
        <v>939.52377999999999</v>
      </c>
      <c r="H54" s="440">
        <f>H53</f>
        <v>939.52377999999999</v>
      </c>
      <c r="I54" s="102">
        <f t="shared" si="3"/>
        <v>100</v>
      </c>
      <c r="J54" s="125"/>
      <c r="K54" s="125"/>
      <c r="L54" s="125"/>
      <c r="M54" s="125"/>
      <c r="N54" s="125"/>
    </row>
    <row r="55" spans="1:14" s="131" customFormat="1" ht="31.5" x14ac:dyDescent="0.25">
      <c r="A55" s="26" t="s">
        <v>821</v>
      </c>
      <c r="B55" s="218" t="s">
        <v>822</v>
      </c>
      <c r="C55" s="218" t="s">
        <v>145</v>
      </c>
      <c r="D55" s="8" t="s">
        <v>145</v>
      </c>
      <c r="E55" s="299"/>
      <c r="F55" s="299"/>
      <c r="G55" s="440">
        <f t="shared" ref="G55:H56" si="4">G56</f>
        <v>258.42788999999999</v>
      </c>
      <c r="H55" s="440">
        <f t="shared" si="4"/>
        <v>258.42788999999999</v>
      </c>
      <c r="I55" s="102">
        <f t="shared" si="3"/>
        <v>100</v>
      </c>
      <c r="J55" s="125"/>
      <c r="K55" s="125"/>
      <c r="L55" s="125"/>
      <c r="M55" s="125"/>
      <c r="N55" s="125"/>
    </row>
    <row r="56" spans="1:14" s="131" customFormat="1" ht="47.25" x14ac:dyDescent="0.25">
      <c r="A56" s="26" t="s">
        <v>149</v>
      </c>
      <c r="B56" s="218" t="s">
        <v>822</v>
      </c>
      <c r="C56" s="218" t="s">
        <v>145</v>
      </c>
      <c r="D56" s="8" t="s">
        <v>145</v>
      </c>
      <c r="E56" s="299">
        <v>600</v>
      </c>
      <c r="F56" s="299"/>
      <c r="G56" s="440">
        <f t="shared" si="4"/>
        <v>258.42788999999999</v>
      </c>
      <c r="H56" s="440">
        <f t="shared" si="4"/>
        <v>258.42788999999999</v>
      </c>
      <c r="I56" s="102">
        <f t="shared" si="3"/>
        <v>100</v>
      </c>
      <c r="J56" s="125"/>
      <c r="K56" s="125"/>
      <c r="L56" s="125"/>
      <c r="M56" s="278"/>
      <c r="N56" s="125"/>
    </row>
    <row r="57" spans="1:14" s="131" customFormat="1" ht="15.75" x14ac:dyDescent="0.25">
      <c r="A57" s="26" t="s">
        <v>151</v>
      </c>
      <c r="B57" s="218" t="s">
        <v>822</v>
      </c>
      <c r="C57" s="218" t="s">
        <v>145</v>
      </c>
      <c r="D57" s="8" t="s">
        <v>145</v>
      </c>
      <c r="E57" s="299">
        <v>610</v>
      </c>
      <c r="F57" s="299"/>
      <c r="G57" s="440">
        <f>'Пр.4 Ведом23'!G960</f>
        <v>258.42788999999999</v>
      </c>
      <c r="H57" s="440">
        <f>'Пр.4 Ведом23'!H960</f>
        <v>258.42788999999999</v>
      </c>
      <c r="I57" s="102">
        <f t="shared" si="3"/>
        <v>100</v>
      </c>
      <c r="J57" s="125"/>
      <c r="K57" s="125"/>
      <c r="L57" s="125"/>
      <c r="M57" s="125"/>
      <c r="N57" s="125"/>
    </row>
    <row r="58" spans="1:14" s="131" customFormat="1" ht="31.5" x14ac:dyDescent="0.25">
      <c r="A58" s="26" t="s">
        <v>889</v>
      </c>
      <c r="B58" s="218" t="s">
        <v>822</v>
      </c>
      <c r="C58" s="218" t="s">
        <v>145</v>
      </c>
      <c r="D58" s="8" t="s">
        <v>145</v>
      </c>
      <c r="E58" s="299">
        <v>610</v>
      </c>
      <c r="F58" s="299">
        <v>907</v>
      </c>
      <c r="G58" s="440">
        <f>G57</f>
        <v>258.42788999999999</v>
      </c>
      <c r="H58" s="440">
        <f>H57</f>
        <v>258.42788999999999</v>
      </c>
      <c r="I58" s="102">
        <f t="shared" si="3"/>
        <v>100</v>
      </c>
      <c r="J58" s="125"/>
      <c r="K58" s="125"/>
      <c r="L58" s="125"/>
      <c r="M58" s="125"/>
      <c r="N58" s="125"/>
    </row>
    <row r="59" spans="1:14" s="131" customFormat="1" ht="31.5" x14ac:dyDescent="0.25">
      <c r="A59" s="26" t="s">
        <v>821</v>
      </c>
      <c r="B59" s="218" t="s">
        <v>822</v>
      </c>
      <c r="C59" s="218" t="s">
        <v>145</v>
      </c>
      <c r="D59" s="8" t="s">
        <v>145</v>
      </c>
      <c r="E59" s="299"/>
      <c r="F59" s="299"/>
      <c r="G59" s="440">
        <f t="shared" ref="G59:H60" si="5">G60</f>
        <v>200.11673000000002</v>
      </c>
      <c r="H59" s="440">
        <f t="shared" si="5"/>
        <v>199.53543999999999</v>
      </c>
      <c r="I59" s="102">
        <f t="shared" si="3"/>
        <v>99.709524536004551</v>
      </c>
      <c r="J59" s="125"/>
      <c r="K59" s="125"/>
      <c r="L59" s="125"/>
      <c r="M59" s="125"/>
      <c r="N59" s="125"/>
    </row>
    <row r="60" spans="1:14" s="131" customFormat="1" ht="47.25" x14ac:dyDescent="0.25">
      <c r="A60" s="26" t="s">
        <v>149</v>
      </c>
      <c r="B60" s="218" t="s">
        <v>822</v>
      </c>
      <c r="C60" s="218" t="s">
        <v>145</v>
      </c>
      <c r="D60" s="8" t="s">
        <v>145</v>
      </c>
      <c r="E60" s="299">
        <v>600</v>
      </c>
      <c r="F60" s="299"/>
      <c r="G60" s="440">
        <f t="shared" si="5"/>
        <v>200.11673000000002</v>
      </c>
      <c r="H60" s="440">
        <f t="shared" si="5"/>
        <v>199.53543999999999</v>
      </c>
      <c r="I60" s="102">
        <f t="shared" si="3"/>
        <v>99.709524536004551</v>
      </c>
      <c r="J60" s="125"/>
      <c r="K60" s="125"/>
      <c r="L60" s="125"/>
      <c r="M60" s="125"/>
      <c r="N60" s="125"/>
    </row>
    <row r="61" spans="1:14" s="131" customFormat="1" ht="15.75" x14ac:dyDescent="0.25">
      <c r="A61" s="26" t="s">
        <v>151</v>
      </c>
      <c r="B61" s="218" t="s">
        <v>822</v>
      </c>
      <c r="C61" s="218" t="s">
        <v>145</v>
      </c>
      <c r="D61" s="8" t="s">
        <v>145</v>
      </c>
      <c r="E61" s="299">
        <v>610</v>
      </c>
      <c r="F61" s="299"/>
      <c r="G61" s="440">
        <f>'Пр.4 Ведом23'!G883</f>
        <v>200.11673000000002</v>
      </c>
      <c r="H61" s="440">
        <f>'Пр.4 Ведом23'!H883</f>
        <v>199.53543999999999</v>
      </c>
      <c r="I61" s="102">
        <f t="shared" si="3"/>
        <v>99.709524536004551</v>
      </c>
      <c r="J61" s="125"/>
      <c r="K61" s="125"/>
      <c r="L61" s="125"/>
      <c r="M61" s="125"/>
      <c r="N61" s="125"/>
    </row>
    <row r="62" spans="1:14" s="131" customFormat="1" ht="31.5" x14ac:dyDescent="0.25">
      <c r="A62" s="26" t="s">
        <v>878</v>
      </c>
      <c r="B62" s="218" t="s">
        <v>822</v>
      </c>
      <c r="C62" s="218" t="s">
        <v>145</v>
      </c>
      <c r="D62" s="8" t="s">
        <v>145</v>
      </c>
      <c r="E62" s="299">
        <v>610</v>
      </c>
      <c r="F62" s="299">
        <v>906</v>
      </c>
      <c r="G62" s="440">
        <f>G61</f>
        <v>200.11673000000002</v>
      </c>
      <c r="H62" s="440">
        <f>H61</f>
        <v>199.53543999999999</v>
      </c>
      <c r="I62" s="102">
        <f t="shared" si="3"/>
        <v>99.709524536004551</v>
      </c>
      <c r="J62" s="125"/>
      <c r="K62" s="125"/>
      <c r="L62" s="125"/>
      <c r="M62" s="125"/>
      <c r="N62" s="125"/>
    </row>
    <row r="63" spans="1:14" s="131" customFormat="1" ht="63.75" customHeight="1" x14ac:dyDescent="0.25">
      <c r="A63" s="116" t="s">
        <v>456</v>
      </c>
      <c r="B63" s="117" t="s">
        <v>345</v>
      </c>
      <c r="C63" s="117"/>
      <c r="D63" s="299"/>
      <c r="E63" s="299"/>
      <c r="F63" s="299"/>
      <c r="G63" s="441">
        <f t="shared" ref="G63:H65" si="6">G64</f>
        <v>417.59219999999993</v>
      </c>
      <c r="H63" s="441">
        <f t="shared" si="6"/>
        <v>417.59219999999999</v>
      </c>
      <c r="I63" s="221">
        <f t="shared" si="3"/>
        <v>100.00000000000003</v>
      </c>
      <c r="J63" s="125"/>
      <c r="K63" s="125"/>
      <c r="L63" s="125"/>
      <c r="M63" s="125"/>
      <c r="N63" s="125"/>
    </row>
    <row r="64" spans="1:14" s="131" customFormat="1" ht="15.75" x14ac:dyDescent="0.25">
      <c r="A64" s="215" t="s">
        <v>144</v>
      </c>
      <c r="B64" s="218" t="s">
        <v>345</v>
      </c>
      <c r="C64" s="218" t="s">
        <v>145</v>
      </c>
      <c r="D64" s="8"/>
      <c r="E64" s="299"/>
      <c r="F64" s="299"/>
      <c r="G64" s="440">
        <f t="shared" si="6"/>
        <v>417.59219999999993</v>
      </c>
      <c r="H64" s="440">
        <f t="shared" si="6"/>
        <v>417.59219999999999</v>
      </c>
      <c r="I64" s="102">
        <f t="shared" si="3"/>
        <v>100.00000000000003</v>
      </c>
      <c r="J64" s="125"/>
      <c r="K64" s="125"/>
      <c r="L64" s="125"/>
      <c r="M64" s="125"/>
      <c r="N64" s="125"/>
    </row>
    <row r="65" spans="1:14" s="131" customFormat="1" ht="15.75" x14ac:dyDescent="0.25">
      <c r="A65" s="26" t="s">
        <v>193</v>
      </c>
      <c r="B65" s="218" t="s">
        <v>345</v>
      </c>
      <c r="C65" s="218" t="s">
        <v>145</v>
      </c>
      <c r="D65" s="8" t="s">
        <v>145</v>
      </c>
      <c r="E65" s="299"/>
      <c r="F65" s="299"/>
      <c r="G65" s="440">
        <f t="shared" si="6"/>
        <v>417.59219999999993</v>
      </c>
      <c r="H65" s="440">
        <f t="shared" si="6"/>
        <v>417.59219999999999</v>
      </c>
      <c r="I65" s="102">
        <f t="shared" si="3"/>
        <v>100.00000000000003</v>
      </c>
      <c r="J65" s="125"/>
      <c r="K65" s="125"/>
      <c r="L65" s="125"/>
      <c r="M65" s="125"/>
      <c r="N65" s="125"/>
    </row>
    <row r="66" spans="1:14" s="131" customFormat="1" ht="15.75" x14ac:dyDescent="0.25">
      <c r="A66" s="215" t="s">
        <v>457</v>
      </c>
      <c r="B66" s="218" t="s">
        <v>350</v>
      </c>
      <c r="C66" s="218" t="s">
        <v>145</v>
      </c>
      <c r="D66" s="8" t="s">
        <v>145</v>
      </c>
      <c r="E66" s="299"/>
      <c r="F66" s="299"/>
      <c r="G66" s="440">
        <f>G67+G70</f>
        <v>417.59219999999993</v>
      </c>
      <c r="H66" s="440">
        <f>H67+H70</f>
        <v>417.59219999999999</v>
      </c>
      <c r="I66" s="102">
        <f t="shared" si="3"/>
        <v>100.00000000000003</v>
      </c>
      <c r="J66" s="125"/>
      <c r="K66" s="125"/>
      <c r="L66" s="125"/>
      <c r="M66" s="125"/>
      <c r="N66" s="125"/>
    </row>
    <row r="67" spans="1:14" s="131" customFormat="1" ht="78.75" x14ac:dyDescent="0.25">
      <c r="A67" s="215" t="s">
        <v>84</v>
      </c>
      <c r="B67" s="218" t="s">
        <v>350</v>
      </c>
      <c r="C67" s="218" t="s">
        <v>145</v>
      </c>
      <c r="D67" s="8" t="s">
        <v>145</v>
      </c>
      <c r="E67" s="299">
        <v>100</v>
      </c>
      <c r="F67" s="299"/>
      <c r="G67" s="440">
        <f>G68</f>
        <v>48.75</v>
      </c>
      <c r="H67" s="440">
        <f>H68</f>
        <v>48.75</v>
      </c>
      <c r="I67" s="102">
        <f t="shared" si="3"/>
        <v>100</v>
      </c>
      <c r="J67" s="125"/>
      <c r="K67" s="125"/>
      <c r="L67" s="125"/>
      <c r="M67" s="125"/>
      <c r="N67" s="125"/>
    </row>
    <row r="68" spans="1:14" s="131" customFormat="1" ht="31.5" x14ac:dyDescent="0.25">
      <c r="A68" s="215" t="s">
        <v>168</v>
      </c>
      <c r="B68" s="218" t="s">
        <v>350</v>
      </c>
      <c r="C68" s="218" t="s">
        <v>145</v>
      </c>
      <c r="D68" s="8" t="s">
        <v>145</v>
      </c>
      <c r="E68" s="299">
        <v>110</v>
      </c>
      <c r="F68" s="299"/>
      <c r="G68" s="440">
        <f>'Пр.4 Ведом23'!G424</f>
        <v>48.75</v>
      </c>
      <c r="H68" s="440">
        <f>'Пр.4 Ведом23'!H424</f>
        <v>48.75</v>
      </c>
      <c r="I68" s="102">
        <f t="shared" si="3"/>
        <v>100</v>
      </c>
      <c r="J68" s="125"/>
      <c r="K68" s="125"/>
      <c r="L68" s="125"/>
      <c r="M68" s="125"/>
      <c r="N68" s="125"/>
    </row>
    <row r="69" spans="1:14" s="131" customFormat="1" ht="47.25" x14ac:dyDescent="0.25">
      <c r="A69" s="26" t="s">
        <v>876</v>
      </c>
      <c r="B69" s="218" t="s">
        <v>350</v>
      </c>
      <c r="C69" s="218" t="s">
        <v>145</v>
      </c>
      <c r="D69" s="8" t="s">
        <v>145</v>
      </c>
      <c r="E69" s="299">
        <v>110</v>
      </c>
      <c r="F69" s="299">
        <v>903</v>
      </c>
      <c r="G69" s="440">
        <f>G68</f>
        <v>48.75</v>
      </c>
      <c r="H69" s="440">
        <f>H68</f>
        <v>48.75</v>
      </c>
      <c r="I69" s="102">
        <f t="shared" si="3"/>
        <v>100</v>
      </c>
      <c r="J69" s="125"/>
      <c r="K69" s="125"/>
      <c r="L69" s="125"/>
      <c r="M69" s="125"/>
      <c r="N69" s="125"/>
    </row>
    <row r="70" spans="1:14" s="131" customFormat="1" ht="31.5" x14ac:dyDescent="0.25">
      <c r="A70" s="215" t="s">
        <v>88</v>
      </c>
      <c r="B70" s="218" t="s">
        <v>350</v>
      </c>
      <c r="C70" s="218" t="s">
        <v>145</v>
      </c>
      <c r="D70" s="8" t="s">
        <v>145</v>
      </c>
      <c r="E70" s="299">
        <v>200</v>
      </c>
      <c r="F70" s="299"/>
      <c r="G70" s="440">
        <f>G71</f>
        <v>368.84219999999993</v>
      </c>
      <c r="H70" s="440">
        <f>H71</f>
        <v>368.84219999999999</v>
      </c>
      <c r="I70" s="102">
        <f t="shared" si="3"/>
        <v>100.00000000000003</v>
      </c>
      <c r="J70" s="125"/>
      <c r="K70" s="125"/>
      <c r="L70" s="125"/>
      <c r="M70" s="125"/>
      <c r="N70" s="125"/>
    </row>
    <row r="71" spans="1:14" s="131" customFormat="1" ht="47.25" x14ac:dyDescent="0.25">
      <c r="A71" s="215" t="s">
        <v>90</v>
      </c>
      <c r="B71" s="218" t="s">
        <v>350</v>
      </c>
      <c r="C71" s="218" t="s">
        <v>145</v>
      </c>
      <c r="D71" s="8" t="s">
        <v>145</v>
      </c>
      <c r="E71" s="299">
        <v>240</v>
      </c>
      <c r="F71" s="299"/>
      <c r="G71" s="440">
        <f>'Пр.4 Ведом23'!G426</f>
        <v>368.84219999999993</v>
      </c>
      <c r="H71" s="440">
        <f>'Пр.4 Ведом23'!H426</f>
        <v>368.84219999999999</v>
      </c>
      <c r="I71" s="102">
        <f t="shared" si="3"/>
        <v>100.00000000000003</v>
      </c>
      <c r="J71" s="125"/>
      <c r="K71" s="125"/>
      <c r="L71" s="125"/>
      <c r="M71" s="125"/>
      <c r="N71" s="125"/>
    </row>
    <row r="72" spans="1:14" s="131" customFormat="1" ht="47.25" x14ac:dyDescent="0.25">
      <c r="A72" s="26" t="s">
        <v>876</v>
      </c>
      <c r="B72" s="218" t="s">
        <v>350</v>
      </c>
      <c r="C72" s="218" t="s">
        <v>145</v>
      </c>
      <c r="D72" s="8" t="s">
        <v>145</v>
      </c>
      <c r="E72" s="299">
        <v>240</v>
      </c>
      <c r="F72" s="299">
        <v>903</v>
      </c>
      <c r="G72" s="440">
        <f>G71</f>
        <v>368.84219999999993</v>
      </c>
      <c r="H72" s="440">
        <f>H71</f>
        <v>368.84219999999999</v>
      </c>
      <c r="I72" s="102">
        <f t="shared" si="3"/>
        <v>100.00000000000003</v>
      </c>
      <c r="J72" s="125"/>
      <c r="K72" s="125"/>
      <c r="L72" s="125"/>
      <c r="M72" s="125"/>
      <c r="N72" s="125"/>
    </row>
    <row r="73" spans="1:14" s="131" customFormat="1" ht="47.25" x14ac:dyDescent="0.25">
      <c r="A73" s="116" t="s">
        <v>462</v>
      </c>
      <c r="B73" s="117" t="s">
        <v>458</v>
      </c>
      <c r="C73" s="117"/>
      <c r="D73" s="299"/>
      <c r="E73" s="299"/>
      <c r="F73" s="299"/>
      <c r="G73" s="441">
        <f t="shared" ref="G73:H77" si="7">G74</f>
        <v>25</v>
      </c>
      <c r="H73" s="441">
        <f t="shared" si="7"/>
        <v>25</v>
      </c>
      <c r="I73" s="221">
        <f t="shared" si="3"/>
        <v>100</v>
      </c>
      <c r="J73" s="125"/>
      <c r="K73" s="125"/>
      <c r="L73" s="125"/>
      <c r="M73" s="125"/>
      <c r="N73" s="125"/>
    </row>
    <row r="74" spans="1:14" s="131" customFormat="1" ht="15.75" x14ac:dyDescent="0.25">
      <c r="A74" s="215" t="s">
        <v>144</v>
      </c>
      <c r="B74" s="218" t="s">
        <v>458</v>
      </c>
      <c r="C74" s="117"/>
      <c r="D74" s="299"/>
      <c r="E74" s="299"/>
      <c r="F74" s="299"/>
      <c r="G74" s="440">
        <f t="shared" si="7"/>
        <v>25</v>
      </c>
      <c r="H74" s="440">
        <f t="shared" si="7"/>
        <v>25</v>
      </c>
      <c r="I74" s="102">
        <f t="shared" si="3"/>
        <v>100</v>
      </c>
      <c r="J74" s="125"/>
      <c r="K74" s="125"/>
      <c r="L74" s="125"/>
      <c r="M74" s="125"/>
      <c r="N74" s="125"/>
    </row>
    <row r="75" spans="1:14" s="131" customFormat="1" ht="15.75" x14ac:dyDescent="0.25">
      <c r="A75" s="26" t="s">
        <v>1009</v>
      </c>
      <c r="B75" s="218" t="s">
        <v>458</v>
      </c>
      <c r="C75" s="117"/>
      <c r="D75" s="299"/>
      <c r="E75" s="299"/>
      <c r="F75" s="299"/>
      <c r="G75" s="440">
        <f t="shared" si="7"/>
        <v>25</v>
      </c>
      <c r="H75" s="440">
        <f t="shared" si="7"/>
        <v>25</v>
      </c>
      <c r="I75" s="102">
        <f t="shared" si="3"/>
        <v>100</v>
      </c>
      <c r="J75" s="125"/>
      <c r="K75" s="125"/>
      <c r="L75" s="125"/>
      <c r="M75" s="125"/>
      <c r="N75" s="125"/>
    </row>
    <row r="76" spans="1:14" s="131" customFormat="1" ht="47.25" x14ac:dyDescent="0.25">
      <c r="A76" s="224" t="s">
        <v>459</v>
      </c>
      <c r="B76" s="218" t="s">
        <v>470</v>
      </c>
      <c r="C76" s="218" t="s">
        <v>145</v>
      </c>
      <c r="D76" s="8" t="s">
        <v>145</v>
      </c>
      <c r="E76" s="299"/>
      <c r="F76" s="299"/>
      <c r="G76" s="440">
        <f t="shared" si="7"/>
        <v>25</v>
      </c>
      <c r="H76" s="440">
        <f t="shared" si="7"/>
        <v>25</v>
      </c>
      <c r="I76" s="102">
        <f t="shared" si="3"/>
        <v>100</v>
      </c>
      <c r="J76" s="125"/>
      <c r="K76" s="125"/>
      <c r="L76" s="125"/>
      <c r="M76" s="125"/>
      <c r="N76" s="125"/>
    </row>
    <row r="77" spans="1:14" s="131" customFormat="1" ht="31.5" x14ac:dyDescent="0.25">
      <c r="A77" s="215" t="s">
        <v>137</v>
      </c>
      <c r="B77" s="218" t="s">
        <v>470</v>
      </c>
      <c r="C77" s="218" t="s">
        <v>145</v>
      </c>
      <c r="D77" s="8" t="s">
        <v>145</v>
      </c>
      <c r="E77" s="299">
        <v>300</v>
      </c>
      <c r="F77" s="299"/>
      <c r="G77" s="440">
        <f t="shared" si="7"/>
        <v>25</v>
      </c>
      <c r="H77" s="440">
        <f t="shared" si="7"/>
        <v>25</v>
      </c>
      <c r="I77" s="102">
        <f t="shared" si="3"/>
        <v>100</v>
      </c>
      <c r="J77" s="125"/>
      <c r="K77" s="125"/>
      <c r="L77" s="125"/>
      <c r="M77" s="125"/>
      <c r="N77" s="125"/>
    </row>
    <row r="78" spans="1:14" s="131" customFormat="1" ht="31.5" x14ac:dyDescent="0.25">
      <c r="A78" s="215" t="s">
        <v>139</v>
      </c>
      <c r="B78" s="218" t="s">
        <v>470</v>
      </c>
      <c r="C78" s="218" t="s">
        <v>145</v>
      </c>
      <c r="D78" s="8" t="s">
        <v>145</v>
      </c>
      <c r="E78" s="299">
        <v>320</v>
      </c>
      <c r="F78" s="299"/>
      <c r="G78" s="440">
        <f>'Пр.4 Ведом23'!G430</f>
        <v>25</v>
      </c>
      <c r="H78" s="440">
        <f>'Пр.4 Ведом23'!H430</f>
        <v>25</v>
      </c>
      <c r="I78" s="102">
        <f t="shared" si="3"/>
        <v>100</v>
      </c>
      <c r="J78" s="125"/>
      <c r="K78" s="125"/>
      <c r="L78" s="125"/>
      <c r="M78" s="125"/>
      <c r="N78" s="125"/>
    </row>
    <row r="79" spans="1:14" s="131" customFormat="1" ht="47.25" x14ac:dyDescent="0.25">
      <c r="A79" s="26" t="s">
        <v>876</v>
      </c>
      <c r="B79" s="218" t="s">
        <v>470</v>
      </c>
      <c r="C79" s="218" t="s">
        <v>145</v>
      </c>
      <c r="D79" s="8" t="s">
        <v>145</v>
      </c>
      <c r="E79" s="299">
        <v>320</v>
      </c>
      <c r="F79" s="299">
        <v>903</v>
      </c>
      <c r="G79" s="440">
        <f>G78</f>
        <v>25</v>
      </c>
      <c r="H79" s="440">
        <f>H78</f>
        <v>25</v>
      </c>
      <c r="I79" s="102">
        <f t="shared" si="3"/>
        <v>100</v>
      </c>
      <c r="J79" s="125"/>
      <c r="K79" s="125"/>
      <c r="L79" s="125"/>
      <c r="M79" s="125"/>
      <c r="N79" s="125"/>
    </row>
    <row r="80" spans="1:14" s="131" customFormat="1" ht="31.5" x14ac:dyDescent="0.25">
      <c r="A80" s="116" t="s">
        <v>174</v>
      </c>
      <c r="B80" s="117" t="s">
        <v>175</v>
      </c>
      <c r="C80" s="117"/>
      <c r="D80" s="299"/>
      <c r="E80" s="299"/>
      <c r="F80" s="299"/>
      <c r="G80" s="441">
        <f t="shared" ref="G80:H85" si="8">G81</f>
        <v>169.05099999999999</v>
      </c>
      <c r="H80" s="441">
        <f t="shared" si="8"/>
        <v>169.05</v>
      </c>
      <c r="I80" s="221">
        <f t="shared" si="3"/>
        <v>99.999408462534987</v>
      </c>
      <c r="J80" s="125"/>
      <c r="K80" s="125"/>
      <c r="L80" s="125"/>
      <c r="M80" s="125"/>
      <c r="N80" s="125"/>
    </row>
    <row r="81" spans="1:14" s="131" customFormat="1" ht="31.5" x14ac:dyDescent="0.25">
      <c r="A81" s="116" t="s">
        <v>353</v>
      </c>
      <c r="B81" s="117" t="s">
        <v>352</v>
      </c>
      <c r="C81" s="117"/>
      <c r="D81" s="299"/>
      <c r="E81" s="299"/>
      <c r="F81" s="299"/>
      <c r="G81" s="441">
        <f t="shared" si="8"/>
        <v>169.05099999999999</v>
      </c>
      <c r="H81" s="441">
        <f t="shared" si="8"/>
        <v>169.05</v>
      </c>
      <c r="I81" s="221">
        <f t="shared" ref="I81:I144" si="9">H81/G81*100</f>
        <v>99.999408462534987</v>
      </c>
      <c r="J81" s="125"/>
      <c r="K81" s="125"/>
      <c r="L81" s="125"/>
      <c r="M81" s="125"/>
      <c r="N81" s="125"/>
    </row>
    <row r="82" spans="1:14" s="131" customFormat="1" ht="15.75" x14ac:dyDescent="0.25">
      <c r="A82" s="215" t="s">
        <v>133</v>
      </c>
      <c r="B82" s="218" t="s">
        <v>352</v>
      </c>
      <c r="C82" s="218" t="s">
        <v>134</v>
      </c>
      <c r="D82" s="299"/>
      <c r="E82" s="299"/>
      <c r="F82" s="299"/>
      <c r="G82" s="440">
        <f t="shared" si="8"/>
        <v>169.05099999999999</v>
      </c>
      <c r="H82" s="440">
        <f t="shared" si="8"/>
        <v>169.05</v>
      </c>
      <c r="I82" s="102">
        <f t="shared" si="9"/>
        <v>99.999408462534987</v>
      </c>
      <c r="J82" s="125"/>
      <c r="K82" s="125"/>
      <c r="L82" s="125"/>
      <c r="M82" s="125"/>
      <c r="N82" s="125"/>
    </row>
    <row r="83" spans="1:14" s="131" customFormat="1" ht="15.75" x14ac:dyDescent="0.25">
      <c r="A83" s="215" t="s">
        <v>141</v>
      </c>
      <c r="B83" s="218" t="s">
        <v>352</v>
      </c>
      <c r="C83" s="218" t="s">
        <v>134</v>
      </c>
      <c r="D83" s="8" t="s">
        <v>120</v>
      </c>
      <c r="E83" s="299"/>
      <c r="F83" s="299"/>
      <c r="G83" s="440">
        <f t="shared" si="8"/>
        <v>169.05099999999999</v>
      </c>
      <c r="H83" s="440">
        <f t="shared" si="8"/>
        <v>169.05</v>
      </c>
      <c r="I83" s="102">
        <f t="shared" si="9"/>
        <v>99.999408462534987</v>
      </c>
      <c r="J83" s="125"/>
      <c r="K83" s="125"/>
      <c r="L83" s="125"/>
      <c r="M83" s="125"/>
      <c r="N83" s="125"/>
    </row>
    <row r="84" spans="1:14" s="131" customFormat="1" ht="31.5" x14ac:dyDescent="0.25">
      <c r="A84" s="215" t="s">
        <v>297</v>
      </c>
      <c r="B84" s="218" t="s">
        <v>354</v>
      </c>
      <c r="C84" s="218" t="s">
        <v>134</v>
      </c>
      <c r="D84" s="8" t="s">
        <v>120</v>
      </c>
      <c r="E84" s="299"/>
      <c r="F84" s="299"/>
      <c r="G84" s="440">
        <f t="shared" si="8"/>
        <v>169.05099999999999</v>
      </c>
      <c r="H84" s="440">
        <f t="shared" si="8"/>
        <v>169.05</v>
      </c>
      <c r="I84" s="102">
        <f t="shared" si="9"/>
        <v>99.999408462534987</v>
      </c>
      <c r="J84" s="125"/>
      <c r="K84" s="125"/>
      <c r="L84" s="125"/>
      <c r="M84" s="125"/>
      <c r="N84" s="125"/>
    </row>
    <row r="85" spans="1:14" s="131" customFormat="1" ht="31.5" x14ac:dyDescent="0.25">
      <c r="A85" s="215" t="s">
        <v>137</v>
      </c>
      <c r="B85" s="218" t="s">
        <v>354</v>
      </c>
      <c r="C85" s="218" t="s">
        <v>134</v>
      </c>
      <c r="D85" s="8" t="s">
        <v>120</v>
      </c>
      <c r="E85" s="299">
        <v>300</v>
      </c>
      <c r="F85" s="299"/>
      <c r="G85" s="440">
        <f t="shared" si="8"/>
        <v>169.05099999999999</v>
      </c>
      <c r="H85" s="440">
        <f t="shared" si="8"/>
        <v>169.05</v>
      </c>
      <c r="I85" s="102">
        <f t="shared" si="9"/>
        <v>99.999408462534987</v>
      </c>
      <c r="J85" s="125"/>
      <c r="K85" s="125"/>
      <c r="L85" s="125"/>
      <c r="M85" s="125"/>
      <c r="N85" s="125"/>
    </row>
    <row r="86" spans="1:14" s="131" customFormat="1" ht="31.5" x14ac:dyDescent="0.25">
      <c r="A86" s="215" t="s">
        <v>139</v>
      </c>
      <c r="B86" s="218" t="s">
        <v>354</v>
      </c>
      <c r="C86" s="218" t="s">
        <v>134</v>
      </c>
      <c r="D86" s="8" t="s">
        <v>120</v>
      </c>
      <c r="E86" s="299">
        <v>320</v>
      </c>
      <c r="F86" s="299"/>
      <c r="G86" s="440">
        <f>'Пр.4 Ведом23'!G596</f>
        <v>169.05099999999999</v>
      </c>
      <c r="H86" s="440">
        <f>'Пр.4 Ведом23'!H596</f>
        <v>169.05</v>
      </c>
      <c r="I86" s="102">
        <f t="shared" si="9"/>
        <v>99.999408462534987</v>
      </c>
      <c r="J86" s="125"/>
      <c r="K86" s="125"/>
      <c r="L86" s="125"/>
      <c r="M86" s="125"/>
      <c r="N86" s="125"/>
    </row>
    <row r="87" spans="1:14" s="131" customFormat="1" ht="47.25" x14ac:dyDescent="0.25">
      <c r="A87" s="26" t="s">
        <v>876</v>
      </c>
      <c r="B87" s="218" t="s">
        <v>354</v>
      </c>
      <c r="C87" s="218" t="s">
        <v>134</v>
      </c>
      <c r="D87" s="8" t="s">
        <v>120</v>
      </c>
      <c r="E87" s="299">
        <v>320</v>
      </c>
      <c r="F87" s="299">
        <v>903</v>
      </c>
      <c r="G87" s="440">
        <f>G86</f>
        <v>169.05099999999999</v>
      </c>
      <c r="H87" s="440">
        <f>H86</f>
        <v>169.05</v>
      </c>
      <c r="I87" s="102">
        <f t="shared" si="9"/>
        <v>99.999408462534987</v>
      </c>
      <c r="J87" s="125"/>
      <c r="K87" s="125"/>
      <c r="L87" s="125"/>
      <c r="M87" s="125"/>
      <c r="N87" s="125"/>
    </row>
    <row r="88" spans="1:14" s="131" customFormat="1" ht="63" hidden="1" x14ac:dyDescent="0.25">
      <c r="A88" s="116" t="s">
        <v>179</v>
      </c>
      <c r="B88" s="117" t="s">
        <v>176</v>
      </c>
      <c r="C88" s="117"/>
      <c r="D88" s="299"/>
      <c r="E88" s="299"/>
      <c r="F88" s="299"/>
      <c r="G88" s="441">
        <f>G89+G96+G103+G110</f>
        <v>0</v>
      </c>
      <c r="H88" s="441">
        <f>H89+H96+H103+H110</f>
        <v>0</v>
      </c>
      <c r="I88" s="102" t="e">
        <f t="shared" si="9"/>
        <v>#DIV/0!</v>
      </c>
      <c r="J88" s="125"/>
      <c r="K88" s="125"/>
      <c r="L88" s="125"/>
      <c r="M88" s="125"/>
      <c r="N88" s="125"/>
    </row>
    <row r="89" spans="1:14" s="131" customFormat="1" ht="47.25" hidden="1" x14ac:dyDescent="0.25">
      <c r="A89" s="79" t="s">
        <v>467</v>
      </c>
      <c r="B89" s="117" t="s">
        <v>355</v>
      </c>
      <c r="C89" s="218"/>
      <c r="D89" s="299"/>
      <c r="E89" s="299"/>
      <c r="F89" s="299"/>
      <c r="G89" s="441">
        <f t="shared" ref="G89:H93" si="10">G90</f>
        <v>0</v>
      </c>
      <c r="H89" s="441">
        <f t="shared" si="10"/>
        <v>0</v>
      </c>
      <c r="I89" s="102" t="e">
        <f t="shared" si="9"/>
        <v>#DIV/0!</v>
      </c>
      <c r="J89" s="125"/>
      <c r="K89" s="125"/>
      <c r="L89" s="125"/>
      <c r="M89" s="125"/>
      <c r="N89" s="125"/>
    </row>
    <row r="90" spans="1:14" s="131" customFormat="1" ht="15.75" hidden="1" x14ac:dyDescent="0.25">
      <c r="A90" s="215" t="s">
        <v>127</v>
      </c>
      <c r="B90" s="218" t="s">
        <v>355</v>
      </c>
      <c r="C90" s="218" t="s">
        <v>103</v>
      </c>
      <c r="D90" s="8"/>
      <c r="E90" s="299"/>
      <c r="F90" s="299"/>
      <c r="G90" s="440">
        <f t="shared" si="10"/>
        <v>0</v>
      </c>
      <c r="H90" s="440">
        <f t="shared" si="10"/>
        <v>0</v>
      </c>
      <c r="I90" s="102" t="e">
        <f t="shared" si="9"/>
        <v>#DIV/0!</v>
      </c>
      <c r="J90" s="125"/>
      <c r="K90" s="125"/>
      <c r="L90" s="125"/>
      <c r="M90" s="125"/>
      <c r="N90" s="125"/>
    </row>
    <row r="91" spans="1:14" s="131" customFormat="1" ht="31.5" hidden="1" x14ac:dyDescent="0.25">
      <c r="A91" s="215" t="s">
        <v>131</v>
      </c>
      <c r="B91" s="218" t="s">
        <v>355</v>
      </c>
      <c r="C91" s="218" t="s">
        <v>103</v>
      </c>
      <c r="D91" s="8" t="s">
        <v>132</v>
      </c>
      <c r="E91" s="299"/>
      <c r="F91" s="299"/>
      <c r="G91" s="440">
        <f t="shared" si="10"/>
        <v>0</v>
      </c>
      <c r="H91" s="440">
        <f t="shared" si="10"/>
        <v>0</v>
      </c>
      <c r="I91" s="102" t="e">
        <f t="shared" si="9"/>
        <v>#DIV/0!</v>
      </c>
      <c r="J91" s="125"/>
      <c r="K91" s="125"/>
      <c r="L91" s="125"/>
      <c r="M91" s="125"/>
      <c r="N91" s="125"/>
    </row>
    <row r="92" spans="1:14" ht="63" hidden="1" x14ac:dyDescent="0.25">
      <c r="A92" s="215" t="s">
        <v>503</v>
      </c>
      <c r="B92" s="218" t="s">
        <v>629</v>
      </c>
      <c r="C92" s="218" t="s">
        <v>103</v>
      </c>
      <c r="D92" s="8" t="s">
        <v>132</v>
      </c>
      <c r="E92" s="218"/>
      <c r="F92" s="6"/>
      <c r="G92" s="343">
        <f t="shared" si="10"/>
        <v>0</v>
      </c>
      <c r="H92" s="566">
        <f t="shared" si="10"/>
        <v>0</v>
      </c>
      <c r="I92" s="102" t="e">
        <f t="shared" si="9"/>
        <v>#DIV/0!</v>
      </c>
    </row>
    <row r="93" spans="1:14" s="75" customFormat="1" ht="31.5" hidden="1" x14ac:dyDescent="0.25">
      <c r="A93" s="215" t="s">
        <v>137</v>
      </c>
      <c r="B93" s="218" t="s">
        <v>629</v>
      </c>
      <c r="C93" s="218" t="s">
        <v>103</v>
      </c>
      <c r="D93" s="8" t="s">
        <v>132</v>
      </c>
      <c r="E93" s="218" t="s">
        <v>138</v>
      </c>
      <c r="F93" s="217"/>
      <c r="G93" s="342">
        <f t="shared" si="10"/>
        <v>0</v>
      </c>
      <c r="H93" s="565">
        <f t="shared" si="10"/>
        <v>0</v>
      </c>
      <c r="I93" s="102" t="e">
        <f t="shared" si="9"/>
        <v>#DIV/0!</v>
      </c>
      <c r="J93" s="125"/>
      <c r="K93" s="125"/>
      <c r="L93" s="125"/>
      <c r="M93" s="125"/>
      <c r="N93" s="125"/>
    </row>
    <row r="94" spans="1:14" ht="31.5" hidden="1" x14ac:dyDescent="0.25">
      <c r="A94" s="215" t="s">
        <v>139</v>
      </c>
      <c r="B94" s="218" t="s">
        <v>629</v>
      </c>
      <c r="C94" s="218" t="s">
        <v>103</v>
      </c>
      <c r="D94" s="8" t="s">
        <v>132</v>
      </c>
      <c r="E94" s="218" t="s">
        <v>140</v>
      </c>
      <c r="F94" s="217"/>
      <c r="G94" s="342">
        <f>'Пр.4 Ведом23'!G348</f>
        <v>0</v>
      </c>
      <c r="H94" s="565">
        <f>'Пр.4 Ведом23'!H348</f>
        <v>0</v>
      </c>
      <c r="I94" s="102" t="e">
        <f t="shared" si="9"/>
        <v>#DIV/0!</v>
      </c>
    </row>
    <row r="95" spans="1:14" s="131" customFormat="1" ht="47.25" hidden="1" x14ac:dyDescent="0.25">
      <c r="A95" s="26" t="s">
        <v>876</v>
      </c>
      <c r="B95" s="218" t="s">
        <v>629</v>
      </c>
      <c r="C95" s="218" t="s">
        <v>103</v>
      </c>
      <c r="D95" s="8" t="s">
        <v>132</v>
      </c>
      <c r="E95" s="218" t="s">
        <v>140</v>
      </c>
      <c r="F95" s="217" t="s">
        <v>237</v>
      </c>
      <c r="G95" s="342">
        <f>G94</f>
        <v>0</v>
      </c>
      <c r="H95" s="565">
        <f>H94</f>
        <v>0</v>
      </c>
      <c r="I95" s="102" t="e">
        <f t="shared" si="9"/>
        <v>#DIV/0!</v>
      </c>
      <c r="J95" s="125"/>
      <c r="K95" s="125"/>
      <c r="L95" s="125"/>
      <c r="M95" s="125"/>
      <c r="N95" s="125"/>
    </row>
    <row r="96" spans="1:14" ht="47.25" hidden="1" x14ac:dyDescent="0.25">
      <c r="A96" s="116" t="s">
        <v>466</v>
      </c>
      <c r="B96" s="117" t="s">
        <v>556</v>
      </c>
      <c r="C96" s="117"/>
      <c r="D96" s="7"/>
      <c r="E96" s="117"/>
      <c r="F96" s="6"/>
      <c r="G96" s="343">
        <f t="shared" ref="G96:H100" si="11">G97</f>
        <v>0</v>
      </c>
      <c r="H96" s="566">
        <f t="shared" si="11"/>
        <v>0</v>
      </c>
      <c r="I96" s="102" t="e">
        <f t="shared" si="9"/>
        <v>#DIV/0!</v>
      </c>
    </row>
    <row r="97" spans="1:14" s="131" customFormat="1" ht="15.75" hidden="1" x14ac:dyDescent="0.25">
      <c r="A97" s="215" t="s">
        <v>127</v>
      </c>
      <c r="B97" s="218" t="s">
        <v>556</v>
      </c>
      <c r="C97" s="218" t="s">
        <v>103</v>
      </c>
      <c r="D97" s="8"/>
      <c r="E97" s="117"/>
      <c r="F97" s="6"/>
      <c r="G97" s="342">
        <f t="shared" si="11"/>
        <v>0</v>
      </c>
      <c r="H97" s="565">
        <f t="shared" si="11"/>
        <v>0</v>
      </c>
      <c r="I97" s="102" t="e">
        <f t="shared" si="9"/>
        <v>#DIV/0!</v>
      </c>
      <c r="J97" s="125"/>
      <c r="K97" s="125"/>
      <c r="L97" s="125"/>
      <c r="M97" s="125"/>
      <c r="N97" s="125"/>
    </row>
    <row r="98" spans="1:14" s="131" customFormat="1" ht="31.5" hidden="1" x14ac:dyDescent="0.25">
      <c r="A98" s="215" t="s">
        <v>131</v>
      </c>
      <c r="B98" s="218" t="s">
        <v>556</v>
      </c>
      <c r="C98" s="218" t="s">
        <v>103</v>
      </c>
      <c r="D98" s="8" t="s">
        <v>132</v>
      </c>
      <c r="E98" s="117"/>
      <c r="F98" s="6"/>
      <c r="G98" s="342">
        <f t="shared" si="11"/>
        <v>0</v>
      </c>
      <c r="H98" s="565">
        <f t="shared" si="11"/>
        <v>0</v>
      </c>
      <c r="I98" s="102" t="e">
        <f t="shared" si="9"/>
        <v>#DIV/0!</v>
      </c>
      <c r="J98" s="125"/>
      <c r="K98" s="125"/>
      <c r="L98" s="125"/>
      <c r="M98" s="125"/>
      <c r="N98" s="125"/>
    </row>
    <row r="99" spans="1:14" s="75" customFormat="1" ht="110.25" hidden="1" x14ac:dyDescent="0.25">
      <c r="A99" s="215" t="s">
        <v>181</v>
      </c>
      <c r="B99" s="218" t="s">
        <v>557</v>
      </c>
      <c r="C99" s="218" t="s">
        <v>103</v>
      </c>
      <c r="D99" s="8" t="s">
        <v>132</v>
      </c>
      <c r="E99" s="218"/>
      <c r="F99" s="217"/>
      <c r="G99" s="342">
        <f t="shared" si="11"/>
        <v>0</v>
      </c>
      <c r="H99" s="565">
        <f t="shared" si="11"/>
        <v>0</v>
      </c>
      <c r="I99" s="102" t="e">
        <f t="shared" si="9"/>
        <v>#DIV/0!</v>
      </c>
      <c r="J99" s="125"/>
      <c r="K99" s="125"/>
      <c r="L99" s="125"/>
      <c r="M99" s="125"/>
      <c r="N99" s="125"/>
    </row>
    <row r="100" spans="1:14" s="75" customFormat="1" ht="47.25" hidden="1" x14ac:dyDescent="0.25">
      <c r="A100" s="215" t="s">
        <v>149</v>
      </c>
      <c r="B100" s="218" t="s">
        <v>557</v>
      </c>
      <c r="C100" s="218" t="s">
        <v>103</v>
      </c>
      <c r="D100" s="8" t="s">
        <v>132</v>
      </c>
      <c r="E100" s="218" t="s">
        <v>150</v>
      </c>
      <c r="F100" s="217"/>
      <c r="G100" s="342">
        <f t="shared" si="11"/>
        <v>0</v>
      </c>
      <c r="H100" s="565">
        <f t="shared" si="11"/>
        <v>0</v>
      </c>
      <c r="I100" s="102" t="e">
        <f t="shared" si="9"/>
        <v>#DIV/0!</v>
      </c>
      <c r="J100" s="125"/>
      <c r="K100" s="125"/>
      <c r="L100" s="125"/>
      <c r="M100" s="125"/>
      <c r="N100" s="125"/>
    </row>
    <row r="101" spans="1:14" s="75" customFormat="1" ht="63" hidden="1" x14ac:dyDescent="0.25">
      <c r="A101" s="215" t="s">
        <v>499</v>
      </c>
      <c r="B101" s="218" t="s">
        <v>557</v>
      </c>
      <c r="C101" s="218" t="s">
        <v>103</v>
      </c>
      <c r="D101" s="8" t="s">
        <v>132</v>
      </c>
      <c r="E101" s="218" t="s">
        <v>180</v>
      </c>
      <c r="F101" s="217"/>
      <c r="G101" s="342">
        <f>'Пр.4 Ведом23'!G352</f>
        <v>0</v>
      </c>
      <c r="H101" s="565">
        <f>'Пр.4 Ведом23'!H352</f>
        <v>0</v>
      </c>
      <c r="I101" s="102" t="e">
        <f t="shared" si="9"/>
        <v>#DIV/0!</v>
      </c>
      <c r="J101" s="125"/>
      <c r="K101" s="125"/>
      <c r="L101" s="125"/>
      <c r="M101" s="125"/>
      <c r="N101" s="125"/>
    </row>
    <row r="102" spans="1:14" s="131" customFormat="1" ht="47.25" hidden="1" x14ac:dyDescent="0.25">
      <c r="A102" s="26" t="s">
        <v>876</v>
      </c>
      <c r="B102" s="218" t="s">
        <v>557</v>
      </c>
      <c r="C102" s="218" t="s">
        <v>103</v>
      </c>
      <c r="D102" s="8" t="s">
        <v>132</v>
      </c>
      <c r="E102" s="218" t="s">
        <v>180</v>
      </c>
      <c r="F102" s="217" t="s">
        <v>237</v>
      </c>
      <c r="G102" s="342">
        <f>G101</f>
        <v>0</v>
      </c>
      <c r="H102" s="565">
        <f>H101</f>
        <v>0</v>
      </c>
      <c r="I102" s="102" t="e">
        <f t="shared" si="9"/>
        <v>#DIV/0!</v>
      </c>
      <c r="J102" s="125"/>
      <c r="K102" s="125"/>
      <c r="L102" s="125"/>
      <c r="M102" s="125"/>
      <c r="N102" s="125"/>
    </row>
    <row r="103" spans="1:14" s="75" customFormat="1" ht="31.5" hidden="1" x14ac:dyDescent="0.25">
      <c r="A103" s="116" t="s">
        <v>424</v>
      </c>
      <c r="B103" s="117" t="s">
        <v>627</v>
      </c>
      <c r="C103" s="218"/>
      <c r="D103" s="8"/>
      <c r="E103" s="117"/>
      <c r="F103" s="6"/>
      <c r="G103" s="343">
        <f t="shared" ref="G103:H107" si="12">G104</f>
        <v>0</v>
      </c>
      <c r="H103" s="566">
        <f t="shared" si="12"/>
        <v>0</v>
      </c>
      <c r="I103" s="102" t="e">
        <f t="shared" si="9"/>
        <v>#DIV/0!</v>
      </c>
      <c r="J103" s="125"/>
      <c r="K103" s="125"/>
      <c r="L103" s="125"/>
      <c r="M103" s="125"/>
      <c r="N103" s="125"/>
    </row>
    <row r="104" spans="1:14" s="131" customFormat="1" ht="15.75" hidden="1" x14ac:dyDescent="0.25">
      <c r="A104" s="215" t="s">
        <v>127</v>
      </c>
      <c r="B104" s="218" t="s">
        <v>627</v>
      </c>
      <c r="C104" s="218" t="s">
        <v>103</v>
      </c>
      <c r="D104" s="8"/>
      <c r="E104" s="117"/>
      <c r="F104" s="6"/>
      <c r="G104" s="342">
        <f t="shared" si="12"/>
        <v>0</v>
      </c>
      <c r="H104" s="565">
        <f t="shared" si="12"/>
        <v>0</v>
      </c>
      <c r="I104" s="102" t="e">
        <f t="shared" si="9"/>
        <v>#DIV/0!</v>
      </c>
      <c r="J104" s="125"/>
      <c r="K104" s="125"/>
      <c r="L104" s="125"/>
      <c r="M104" s="125"/>
      <c r="N104" s="125"/>
    </row>
    <row r="105" spans="1:14" s="131" customFormat="1" ht="31.5" hidden="1" x14ac:dyDescent="0.25">
      <c r="A105" s="215" t="s">
        <v>131</v>
      </c>
      <c r="B105" s="218" t="s">
        <v>627</v>
      </c>
      <c r="C105" s="218" t="s">
        <v>103</v>
      </c>
      <c r="D105" s="8" t="s">
        <v>132</v>
      </c>
      <c r="E105" s="117"/>
      <c r="F105" s="6"/>
      <c r="G105" s="342">
        <f t="shared" si="12"/>
        <v>0</v>
      </c>
      <c r="H105" s="565">
        <f t="shared" si="12"/>
        <v>0</v>
      </c>
      <c r="I105" s="102" t="e">
        <f t="shared" si="9"/>
        <v>#DIV/0!</v>
      </c>
      <c r="J105" s="125"/>
      <c r="K105" s="125"/>
      <c r="L105" s="125"/>
      <c r="M105" s="125"/>
      <c r="N105" s="125"/>
    </row>
    <row r="106" spans="1:14" s="75" customFormat="1" ht="31.5" hidden="1" x14ac:dyDescent="0.25">
      <c r="A106" s="215" t="s">
        <v>182</v>
      </c>
      <c r="B106" s="218" t="s">
        <v>628</v>
      </c>
      <c r="C106" s="218" t="s">
        <v>103</v>
      </c>
      <c r="D106" s="8" t="s">
        <v>132</v>
      </c>
      <c r="E106" s="218"/>
      <c r="F106" s="217"/>
      <c r="G106" s="343">
        <f t="shared" si="12"/>
        <v>0</v>
      </c>
      <c r="H106" s="566">
        <f t="shared" si="12"/>
        <v>0</v>
      </c>
      <c r="I106" s="102" t="e">
        <f t="shared" si="9"/>
        <v>#DIV/0!</v>
      </c>
      <c r="J106" s="125"/>
      <c r="K106" s="125"/>
      <c r="L106" s="125"/>
      <c r="M106" s="125"/>
      <c r="N106" s="125"/>
    </row>
    <row r="107" spans="1:14" s="75" customFormat="1" ht="31.5" hidden="1" x14ac:dyDescent="0.25">
      <c r="A107" s="215" t="s">
        <v>88</v>
      </c>
      <c r="B107" s="218" t="s">
        <v>628</v>
      </c>
      <c r="C107" s="218" t="s">
        <v>103</v>
      </c>
      <c r="D107" s="8" t="s">
        <v>132</v>
      </c>
      <c r="E107" s="218" t="s">
        <v>89</v>
      </c>
      <c r="F107" s="217"/>
      <c r="G107" s="342">
        <f t="shared" si="12"/>
        <v>0</v>
      </c>
      <c r="H107" s="565">
        <f t="shared" si="12"/>
        <v>0</v>
      </c>
      <c r="I107" s="102" t="e">
        <f t="shared" si="9"/>
        <v>#DIV/0!</v>
      </c>
      <c r="J107" s="125"/>
      <c r="K107" s="125"/>
      <c r="L107" s="125"/>
      <c r="M107" s="125"/>
      <c r="N107" s="125"/>
    </row>
    <row r="108" spans="1:14" s="75" customFormat="1" ht="47.25" hidden="1" x14ac:dyDescent="0.25">
      <c r="A108" s="215" t="s">
        <v>90</v>
      </c>
      <c r="B108" s="218" t="s">
        <v>628</v>
      </c>
      <c r="C108" s="218" t="s">
        <v>103</v>
      </c>
      <c r="D108" s="8" t="s">
        <v>132</v>
      </c>
      <c r="E108" s="218" t="s">
        <v>91</v>
      </c>
      <c r="F108" s="217"/>
      <c r="G108" s="342">
        <f>'Пр.4 Ведом23'!G356</f>
        <v>0</v>
      </c>
      <c r="H108" s="565">
        <f>'Пр.4 Ведом23'!H356</f>
        <v>0</v>
      </c>
      <c r="I108" s="102" t="e">
        <f t="shared" si="9"/>
        <v>#DIV/0!</v>
      </c>
      <c r="J108" s="125"/>
      <c r="K108" s="125"/>
      <c r="L108" s="125"/>
      <c r="M108" s="125"/>
      <c r="N108" s="125"/>
    </row>
    <row r="109" spans="1:14" s="131" customFormat="1" ht="47.25" hidden="1" x14ac:dyDescent="0.25">
      <c r="A109" s="26" t="s">
        <v>876</v>
      </c>
      <c r="B109" s="218" t="s">
        <v>628</v>
      </c>
      <c r="C109" s="218" t="s">
        <v>103</v>
      </c>
      <c r="D109" s="8" t="s">
        <v>132</v>
      </c>
      <c r="E109" s="218" t="s">
        <v>91</v>
      </c>
      <c r="F109" s="217" t="s">
        <v>237</v>
      </c>
      <c r="G109" s="342">
        <f>G108</f>
        <v>0</v>
      </c>
      <c r="H109" s="565">
        <f>H108</f>
        <v>0</v>
      </c>
      <c r="I109" s="102" t="e">
        <f t="shared" si="9"/>
        <v>#DIV/0!</v>
      </c>
      <c r="J109" s="125"/>
      <c r="K109" s="125"/>
      <c r="L109" s="125"/>
      <c r="M109" s="125"/>
      <c r="N109" s="125"/>
    </row>
    <row r="110" spans="1:14" ht="47.25" hidden="1" x14ac:dyDescent="0.25">
      <c r="A110" s="180" t="s">
        <v>512</v>
      </c>
      <c r="B110" s="117" t="s">
        <v>558</v>
      </c>
      <c r="C110" s="218"/>
      <c r="D110" s="8"/>
      <c r="E110" s="218"/>
      <c r="F110" s="217"/>
      <c r="G110" s="343">
        <f t="shared" ref="G110:H114" si="13">G111</f>
        <v>0</v>
      </c>
      <c r="H110" s="566">
        <f t="shared" si="13"/>
        <v>0</v>
      </c>
      <c r="I110" s="102" t="e">
        <f t="shared" si="9"/>
        <v>#DIV/0!</v>
      </c>
    </row>
    <row r="111" spans="1:14" s="131" customFormat="1" ht="15.75" hidden="1" x14ac:dyDescent="0.25">
      <c r="A111" s="215" t="s">
        <v>127</v>
      </c>
      <c r="B111" s="218" t="s">
        <v>558</v>
      </c>
      <c r="C111" s="218" t="s">
        <v>103</v>
      </c>
      <c r="D111" s="8"/>
      <c r="E111" s="218"/>
      <c r="F111" s="217"/>
      <c r="G111" s="342">
        <f t="shared" si="13"/>
        <v>0</v>
      </c>
      <c r="H111" s="565">
        <f t="shared" si="13"/>
        <v>0</v>
      </c>
      <c r="I111" s="102" t="e">
        <f t="shared" si="9"/>
        <v>#DIV/0!</v>
      </c>
      <c r="J111" s="125"/>
      <c r="K111" s="125"/>
      <c r="L111" s="125"/>
      <c r="M111" s="125"/>
      <c r="N111" s="125"/>
    </row>
    <row r="112" spans="1:14" s="131" customFormat="1" ht="31.5" hidden="1" x14ac:dyDescent="0.25">
      <c r="A112" s="215" t="s">
        <v>131</v>
      </c>
      <c r="B112" s="218" t="s">
        <v>558</v>
      </c>
      <c r="C112" s="218" t="s">
        <v>103</v>
      </c>
      <c r="D112" s="8" t="s">
        <v>132</v>
      </c>
      <c r="E112" s="218"/>
      <c r="F112" s="217"/>
      <c r="G112" s="342">
        <f t="shared" si="13"/>
        <v>0</v>
      </c>
      <c r="H112" s="565">
        <f t="shared" si="13"/>
        <v>0</v>
      </c>
      <c r="I112" s="102" t="e">
        <f t="shared" si="9"/>
        <v>#DIV/0!</v>
      </c>
      <c r="J112" s="125"/>
      <c r="K112" s="125"/>
      <c r="L112" s="125"/>
      <c r="M112" s="125"/>
      <c r="N112" s="125"/>
    </row>
    <row r="113" spans="1:14" s="75" customFormat="1" ht="31.5" hidden="1" x14ac:dyDescent="0.25">
      <c r="A113" s="224" t="s">
        <v>545</v>
      </c>
      <c r="B113" s="218" t="s">
        <v>559</v>
      </c>
      <c r="C113" s="218" t="s">
        <v>103</v>
      </c>
      <c r="D113" s="8" t="s">
        <v>132</v>
      </c>
      <c r="E113" s="218"/>
      <c r="F113" s="217"/>
      <c r="G113" s="342">
        <f t="shared" si="13"/>
        <v>0</v>
      </c>
      <c r="H113" s="565">
        <f t="shared" si="13"/>
        <v>0</v>
      </c>
      <c r="I113" s="102" t="e">
        <f t="shared" si="9"/>
        <v>#DIV/0!</v>
      </c>
      <c r="J113" s="125"/>
      <c r="K113" s="125"/>
      <c r="L113" s="125"/>
      <c r="M113" s="125"/>
      <c r="N113" s="125"/>
    </row>
    <row r="114" spans="1:14" s="75" customFormat="1" ht="31.5" hidden="1" x14ac:dyDescent="0.25">
      <c r="A114" s="215" t="s">
        <v>88</v>
      </c>
      <c r="B114" s="218" t="s">
        <v>559</v>
      </c>
      <c r="C114" s="218" t="s">
        <v>103</v>
      </c>
      <c r="D114" s="8" t="s">
        <v>132</v>
      </c>
      <c r="E114" s="218" t="s">
        <v>89</v>
      </c>
      <c r="F114" s="217"/>
      <c r="G114" s="342">
        <f t="shared" si="13"/>
        <v>0</v>
      </c>
      <c r="H114" s="565">
        <f t="shared" si="13"/>
        <v>0</v>
      </c>
      <c r="I114" s="102" t="e">
        <f t="shared" si="9"/>
        <v>#DIV/0!</v>
      </c>
      <c r="J114" s="125"/>
      <c r="K114" s="125"/>
      <c r="L114" s="125"/>
      <c r="M114" s="125"/>
      <c r="N114" s="125"/>
    </row>
    <row r="115" spans="1:14" s="75" customFormat="1" ht="47.25" hidden="1" x14ac:dyDescent="0.25">
      <c r="A115" s="215" t="s">
        <v>90</v>
      </c>
      <c r="B115" s="218" t="s">
        <v>559</v>
      </c>
      <c r="C115" s="218" t="s">
        <v>103</v>
      </c>
      <c r="D115" s="8" t="s">
        <v>132</v>
      </c>
      <c r="E115" s="217" t="s">
        <v>91</v>
      </c>
      <c r="F115" s="217"/>
      <c r="G115" s="342">
        <f>'Пр.4 Ведом23'!G360</f>
        <v>0</v>
      </c>
      <c r="H115" s="565">
        <f>'Пр.4 Ведом23'!H360</f>
        <v>0</v>
      </c>
      <c r="I115" s="102" t="e">
        <f t="shared" si="9"/>
        <v>#DIV/0!</v>
      </c>
      <c r="J115" s="125"/>
      <c r="K115" s="125"/>
      <c r="L115" s="125"/>
      <c r="M115" s="125"/>
      <c r="N115" s="125"/>
    </row>
    <row r="116" spans="1:14" ht="47.25" hidden="1" x14ac:dyDescent="0.25">
      <c r="A116" s="26" t="s">
        <v>876</v>
      </c>
      <c r="B116" s="218" t="s">
        <v>559</v>
      </c>
      <c r="C116" s="218" t="s">
        <v>103</v>
      </c>
      <c r="D116" s="8" t="s">
        <v>132</v>
      </c>
      <c r="E116" s="217" t="s">
        <v>91</v>
      </c>
      <c r="F116" s="217" t="s">
        <v>237</v>
      </c>
      <c r="G116" s="342">
        <f>G115</f>
        <v>0</v>
      </c>
      <c r="H116" s="565">
        <f>H115</f>
        <v>0</v>
      </c>
      <c r="I116" s="102" t="e">
        <f t="shared" si="9"/>
        <v>#DIV/0!</v>
      </c>
    </row>
    <row r="117" spans="1:14" ht="94.5" x14ac:dyDescent="0.25">
      <c r="A117" s="130" t="s">
        <v>883</v>
      </c>
      <c r="B117" s="6" t="s">
        <v>177</v>
      </c>
      <c r="C117" s="6"/>
      <c r="D117" s="217"/>
      <c r="E117" s="217"/>
      <c r="F117" s="217"/>
      <c r="G117" s="566">
        <f t="shared" ref="G117:H119" si="14">G118</f>
        <v>597.68360999999993</v>
      </c>
      <c r="H117" s="566">
        <f t="shared" si="14"/>
        <v>597.68361000000004</v>
      </c>
      <c r="I117" s="221">
        <f t="shared" si="9"/>
        <v>100.00000000000003</v>
      </c>
    </row>
    <row r="118" spans="1:14" s="75" customFormat="1" ht="63" x14ac:dyDescent="0.25">
      <c r="A118" s="89" t="s">
        <v>468</v>
      </c>
      <c r="B118" s="6" t="s">
        <v>357</v>
      </c>
      <c r="C118" s="6"/>
      <c r="D118" s="217"/>
      <c r="E118" s="217"/>
      <c r="F118" s="217"/>
      <c r="G118" s="566">
        <f t="shared" si="14"/>
        <v>597.68360999999993</v>
      </c>
      <c r="H118" s="566">
        <f t="shared" si="14"/>
        <v>597.68361000000004</v>
      </c>
      <c r="I118" s="221">
        <f t="shared" si="9"/>
        <v>100.00000000000003</v>
      </c>
      <c r="J118" s="125"/>
      <c r="K118" s="125"/>
      <c r="L118" s="125"/>
      <c r="M118" s="125"/>
      <c r="N118" s="125"/>
    </row>
    <row r="119" spans="1:14" s="131" customFormat="1" ht="15.75" x14ac:dyDescent="0.25">
      <c r="A119" s="26" t="s">
        <v>80</v>
      </c>
      <c r="B119" s="217" t="s">
        <v>357</v>
      </c>
      <c r="C119" s="217" t="s">
        <v>81</v>
      </c>
      <c r="D119" s="217"/>
      <c r="E119" s="217"/>
      <c r="F119" s="217"/>
      <c r="G119" s="342">
        <f t="shared" si="14"/>
        <v>597.68360999999993</v>
      </c>
      <c r="H119" s="565">
        <f t="shared" si="14"/>
        <v>597.68361000000004</v>
      </c>
      <c r="I119" s="102">
        <f t="shared" si="9"/>
        <v>100.00000000000003</v>
      </c>
      <c r="J119" s="125"/>
      <c r="K119" s="125"/>
      <c r="L119" s="125"/>
      <c r="M119" s="125"/>
      <c r="N119" s="125"/>
    </row>
    <row r="120" spans="1:14" s="131" customFormat="1" ht="15.75" x14ac:dyDescent="0.25">
      <c r="A120" s="215" t="s">
        <v>95</v>
      </c>
      <c r="B120" s="217" t="s">
        <v>357</v>
      </c>
      <c r="C120" s="217" t="s">
        <v>81</v>
      </c>
      <c r="D120" s="217" t="s">
        <v>96</v>
      </c>
      <c r="E120" s="217"/>
      <c r="F120" s="217"/>
      <c r="G120" s="342">
        <f>G121+G125+G132</f>
        <v>597.68360999999993</v>
      </c>
      <c r="H120" s="565">
        <f>H121+H125+H132</f>
        <v>597.68361000000004</v>
      </c>
      <c r="I120" s="102">
        <f t="shared" si="9"/>
        <v>100.00000000000003</v>
      </c>
      <c r="J120" s="125"/>
      <c r="K120" s="125"/>
      <c r="L120" s="125"/>
      <c r="M120" s="125"/>
      <c r="N120" s="125"/>
    </row>
    <row r="121" spans="1:14" ht="31.5" x14ac:dyDescent="0.25">
      <c r="A121" s="26" t="s">
        <v>505</v>
      </c>
      <c r="B121" s="217" t="s">
        <v>555</v>
      </c>
      <c r="C121" s="217" t="s">
        <v>81</v>
      </c>
      <c r="D121" s="217" t="s">
        <v>96</v>
      </c>
      <c r="E121" s="217"/>
      <c r="F121" s="217"/>
      <c r="G121" s="342">
        <f>G122</f>
        <v>508.08360999999991</v>
      </c>
      <c r="H121" s="565">
        <f>H122</f>
        <v>508.08361000000002</v>
      </c>
      <c r="I121" s="102">
        <f t="shared" si="9"/>
        <v>100.00000000000003</v>
      </c>
    </row>
    <row r="122" spans="1:14" ht="31.5" x14ac:dyDescent="0.25">
      <c r="A122" s="19" t="s">
        <v>88</v>
      </c>
      <c r="B122" s="217" t="s">
        <v>555</v>
      </c>
      <c r="C122" s="217" t="s">
        <v>81</v>
      </c>
      <c r="D122" s="217" t="s">
        <v>96</v>
      </c>
      <c r="E122" s="217" t="s">
        <v>89</v>
      </c>
      <c r="F122" s="217"/>
      <c r="G122" s="342">
        <f>G123</f>
        <v>508.08360999999991</v>
      </c>
      <c r="H122" s="565">
        <f>H123</f>
        <v>508.08361000000002</v>
      </c>
      <c r="I122" s="102">
        <f t="shared" si="9"/>
        <v>100.00000000000003</v>
      </c>
    </row>
    <row r="123" spans="1:14" ht="47.25" x14ac:dyDescent="0.25">
      <c r="A123" s="19" t="s">
        <v>90</v>
      </c>
      <c r="B123" s="217" t="s">
        <v>555</v>
      </c>
      <c r="C123" s="217" t="s">
        <v>81</v>
      </c>
      <c r="D123" s="217" t="s">
        <v>96</v>
      </c>
      <c r="E123" s="217" t="s">
        <v>91</v>
      </c>
      <c r="F123" s="217"/>
      <c r="G123" s="342">
        <f>'Пр.4 Ведом23'!G305</f>
        <v>508.08360999999991</v>
      </c>
      <c r="H123" s="565">
        <f>'Пр.4 Ведом23'!H305</f>
        <v>508.08361000000002</v>
      </c>
      <c r="I123" s="102">
        <f t="shared" si="9"/>
        <v>100.00000000000003</v>
      </c>
    </row>
    <row r="124" spans="1:14" s="131" customFormat="1" ht="47.25" x14ac:dyDescent="0.25">
      <c r="A124" s="26" t="s">
        <v>876</v>
      </c>
      <c r="B124" s="217" t="s">
        <v>555</v>
      </c>
      <c r="C124" s="217" t="s">
        <v>81</v>
      </c>
      <c r="D124" s="217" t="s">
        <v>96</v>
      </c>
      <c r="E124" s="217" t="s">
        <v>91</v>
      </c>
      <c r="F124" s="217" t="s">
        <v>237</v>
      </c>
      <c r="G124" s="342">
        <f>G123</f>
        <v>508.08360999999991</v>
      </c>
      <c r="H124" s="565">
        <f>H123</f>
        <v>508.08361000000002</v>
      </c>
      <c r="I124" s="102">
        <f t="shared" si="9"/>
        <v>100.00000000000003</v>
      </c>
      <c r="J124" s="125"/>
      <c r="K124" s="125"/>
      <c r="L124" s="125"/>
      <c r="M124" s="125"/>
      <c r="N124" s="125"/>
    </row>
    <row r="125" spans="1:14" ht="31.5" x14ac:dyDescent="0.25">
      <c r="A125" s="26" t="s">
        <v>700</v>
      </c>
      <c r="B125" s="217" t="s">
        <v>710</v>
      </c>
      <c r="C125" s="217" t="s">
        <v>81</v>
      </c>
      <c r="D125" s="217" t="s">
        <v>96</v>
      </c>
      <c r="E125" s="217"/>
      <c r="F125" s="217"/>
      <c r="G125" s="344">
        <f>G126+G129</f>
        <v>89.6</v>
      </c>
      <c r="H125" s="344">
        <f>H126+H129</f>
        <v>89.6</v>
      </c>
      <c r="I125" s="102">
        <f t="shared" si="9"/>
        <v>100</v>
      </c>
    </row>
    <row r="126" spans="1:14" ht="31.5" hidden="1" x14ac:dyDescent="0.25">
      <c r="A126" s="19" t="s">
        <v>88</v>
      </c>
      <c r="B126" s="217" t="s">
        <v>710</v>
      </c>
      <c r="C126" s="217" t="s">
        <v>81</v>
      </c>
      <c r="D126" s="217" t="s">
        <v>96</v>
      </c>
      <c r="E126" s="217" t="s">
        <v>89</v>
      </c>
      <c r="F126" s="217"/>
      <c r="G126" s="344">
        <f>G127</f>
        <v>0</v>
      </c>
      <c r="H126" s="344">
        <f>H127</f>
        <v>0</v>
      </c>
      <c r="I126" s="102" t="e">
        <f t="shared" si="9"/>
        <v>#DIV/0!</v>
      </c>
    </row>
    <row r="127" spans="1:14" s="75" customFormat="1" ht="49.5" hidden="1" customHeight="1" x14ac:dyDescent="0.25">
      <c r="A127" s="19" t="s">
        <v>90</v>
      </c>
      <c r="B127" s="217" t="s">
        <v>710</v>
      </c>
      <c r="C127" s="217" t="s">
        <v>81</v>
      </c>
      <c r="D127" s="217" t="s">
        <v>96</v>
      </c>
      <c r="E127" s="217" t="s">
        <v>91</v>
      </c>
      <c r="F127" s="217"/>
      <c r="G127" s="344">
        <f>'Пр.4 Ведом23'!G308</f>
        <v>0</v>
      </c>
      <c r="H127" s="344">
        <f>'Пр.4 Ведом23'!H308</f>
        <v>0</v>
      </c>
      <c r="I127" s="102" t="e">
        <f t="shared" si="9"/>
        <v>#DIV/0!</v>
      </c>
      <c r="J127" s="125"/>
      <c r="K127" s="125"/>
      <c r="L127" s="125"/>
      <c r="M127" s="125"/>
      <c r="N127" s="125"/>
    </row>
    <row r="128" spans="1:14" s="131" customFormat="1" ht="47.25" hidden="1" x14ac:dyDescent="0.25">
      <c r="A128" s="26" t="s">
        <v>876</v>
      </c>
      <c r="B128" s="217" t="s">
        <v>710</v>
      </c>
      <c r="C128" s="217" t="s">
        <v>81</v>
      </c>
      <c r="D128" s="217" t="s">
        <v>96</v>
      </c>
      <c r="E128" s="217" t="s">
        <v>91</v>
      </c>
      <c r="F128" s="217" t="s">
        <v>237</v>
      </c>
      <c r="G128" s="344">
        <f>G127</f>
        <v>0</v>
      </c>
      <c r="H128" s="344">
        <f>H127</f>
        <v>0</v>
      </c>
      <c r="I128" s="102" t="e">
        <f t="shared" si="9"/>
        <v>#DIV/0!</v>
      </c>
      <c r="J128" s="125"/>
      <c r="K128" s="125"/>
      <c r="L128" s="125"/>
      <c r="M128" s="125"/>
      <c r="N128" s="125"/>
    </row>
    <row r="129" spans="1:14" s="332" customFormat="1" ht="60" customHeight="1" x14ac:dyDescent="0.25">
      <c r="A129" s="357" t="s">
        <v>149</v>
      </c>
      <c r="B129" s="217" t="s">
        <v>710</v>
      </c>
      <c r="C129" s="217" t="s">
        <v>81</v>
      </c>
      <c r="D129" s="217" t="s">
        <v>96</v>
      </c>
      <c r="E129" s="217" t="s">
        <v>150</v>
      </c>
      <c r="F129" s="217"/>
      <c r="G129" s="344">
        <f>G130</f>
        <v>89.6</v>
      </c>
      <c r="H129" s="344">
        <f>H130</f>
        <v>89.6</v>
      </c>
      <c r="I129" s="102">
        <f t="shared" si="9"/>
        <v>100</v>
      </c>
      <c r="J129" s="125"/>
      <c r="K129" s="125"/>
      <c r="L129" s="125"/>
      <c r="M129" s="125"/>
      <c r="N129" s="125"/>
    </row>
    <row r="130" spans="1:14" s="332" customFormat="1" ht="69.75" customHeight="1" x14ac:dyDescent="0.25">
      <c r="A130" s="357" t="s">
        <v>499</v>
      </c>
      <c r="B130" s="217" t="s">
        <v>710</v>
      </c>
      <c r="C130" s="217" t="s">
        <v>81</v>
      </c>
      <c r="D130" s="217" t="s">
        <v>96</v>
      </c>
      <c r="E130" s="217" t="s">
        <v>180</v>
      </c>
      <c r="F130" s="217"/>
      <c r="G130" s="344">
        <f>'Пр.4 Ведом23'!G310</f>
        <v>89.6</v>
      </c>
      <c r="H130" s="344">
        <f>'Пр.4 Ведом23'!H310</f>
        <v>89.6</v>
      </c>
      <c r="I130" s="102">
        <f t="shared" si="9"/>
        <v>100</v>
      </c>
      <c r="J130" s="125"/>
      <c r="K130" s="125"/>
      <c r="L130" s="125"/>
      <c r="M130" s="125"/>
      <c r="N130" s="125"/>
    </row>
    <row r="131" spans="1:14" s="332" customFormat="1" ht="45.75" customHeight="1" x14ac:dyDescent="0.25">
      <c r="A131" s="26" t="s">
        <v>876</v>
      </c>
      <c r="B131" s="217" t="s">
        <v>710</v>
      </c>
      <c r="C131" s="217" t="s">
        <v>81</v>
      </c>
      <c r="D131" s="217" t="s">
        <v>96</v>
      </c>
      <c r="E131" s="217" t="s">
        <v>180</v>
      </c>
      <c r="F131" s="217" t="s">
        <v>237</v>
      </c>
      <c r="G131" s="344">
        <f>G130</f>
        <v>89.6</v>
      </c>
      <c r="H131" s="344">
        <f>H130</f>
        <v>89.6</v>
      </c>
      <c r="I131" s="102">
        <f t="shared" si="9"/>
        <v>100</v>
      </c>
      <c r="J131" s="125"/>
      <c r="K131" s="125"/>
      <c r="L131" s="125"/>
      <c r="M131" s="125"/>
      <c r="N131" s="125"/>
    </row>
    <row r="132" spans="1:14" ht="31.5" hidden="1" x14ac:dyDescent="0.25">
      <c r="A132" s="19" t="s">
        <v>757</v>
      </c>
      <c r="B132" s="8" t="s">
        <v>758</v>
      </c>
      <c r="C132" s="217" t="s">
        <v>81</v>
      </c>
      <c r="D132" s="217" t="s">
        <v>96</v>
      </c>
      <c r="E132" s="217"/>
      <c r="F132" s="217"/>
      <c r="G132" s="344">
        <f>G133</f>
        <v>0</v>
      </c>
      <c r="H132" s="344">
        <f>H133</f>
        <v>0</v>
      </c>
      <c r="I132" s="102" t="e">
        <f t="shared" si="9"/>
        <v>#DIV/0!</v>
      </c>
    </row>
    <row r="133" spans="1:14" ht="31.5" hidden="1" x14ac:dyDescent="0.25">
      <c r="A133" s="19" t="s">
        <v>88</v>
      </c>
      <c r="B133" s="8" t="s">
        <v>758</v>
      </c>
      <c r="C133" s="217" t="s">
        <v>81</v>
      </c>
      <c r="D133" s="217" t="s">
        <v>96</v>
      </c>
      <c r="E133" s="217" t="s">
        <v>89</v>
      </c>
      <c r="F133" s="217"/>
      <c r="G133" s="344">
        <f>G142</f>
        <v>0</v>
      </c>
      <c r="H133" s="344">
        <f>H142</f>
        <v>0</v>
      </c>
      <c r="I133" s="102" t="e">
        <f t="shared" si="9"/>
        <v>#DIV/0!</v>
      </c>
    </row>
    <row r="134" spans="1:14" s="75" customFormat="1" ht="47.25" hidden="1" x14ac:dyDescent="0.25">
      <c r="A134" s="19" t="s">
        <v>90</v>
      </c>
      <c r="B134" s="8" t="s">
        <v>758</v>
      </c>
      <c r="C134" s="217" t="s">
        <v>91</v>
      </c>
      <c r="D134" s="217"/>
      <c r="E134" s="217"/>
      <c r="F134" s="217"/>
      <c r="G134" s="344"/>
      <c r="H134" s="344"/>
      <c r="I134" s="102" t="e">
        <f t="shared" si="9"/>
        <v>#DIV/0!</v>
      </c>
      <c r="J134" s="125"/>
      <c r="K134" s="125"/>
      <c r="L134" s="125"/>
      <c r="M134" s="125"/>
      <c r="N134" s="125"/>
    </row>
    <row r="135" spans="1:14" s="75" customFormat="1" ht="15.75" hidden="1" x14ac:dyDescent="0.25">
      <c r="A135" s="116"/>
      <c r="B135" s="218"/>
      <c r="C135" s="217"/>
      <c r="D135" s="217"/>
      <c r="E135" s="217"/>
      <c r="F135" s="217"/>
      <c r="G135" s="344"/>
      <c r="H135" s="344"/>
      <c r="I135" s="102" t="e">
        <f t="shared" si="9"/>
        <v>#DIV/0!</v>
      </c>
      <c r="J135" s="125"/>
      <c r="K135" s="125"/>
      <c r="L135" s="125"/>
      <c r="M135" s="125"/>
      <c r="N135" s="125"/>
    </row>
    <row r="136" spans="1:14" s="75" customFormat="1" ht="15.75" hidden="1" x14ac:dyDescent="0.25">
      <c r="A136" s="215"/>
      <c r="B136" s="218"/>
      <c r="C136" s="217"/>
      <c r="D136" s="217"/>
      <c r="E136" s="217"/>
      <c r="F136" s="217"/>
      <c r="G136" s="344"/>
      <c r="H136" s="344"/>
      <c r="I136" s="102" t="e">
        <f t="shared" si="9"/>
        <v>#DIV/0!</v>
      </c>
      <c r="J136" s="125"/>
      <c r="K136" s="125"/>
      <c r="L136" s="125"/>
      <c r="M136" s="125"/>
      <c r="N136" s="125"/>
    </row>
    <row r="137" spans="1:14" s="75" customFormat="1" ht="15.75" hidden="1" x14ac:dyDescent="0.25">
      <c r="A137" s="215"/>
      <c r="B137" s="218"/>
      <c r="C137" s="217"/>
      <c r="D137" s="217"/>
      <c r="E137" s="217"/>
      <c r="F137" s="217"/>
      <c r="G137" s="342"/>
      <c r="H137" s="565"/>
      <c r="I137" s="102" t="e">
        <f t="shared" si="9"/>
        <v>#DIV/0!</v>
      </c>
      <c r="J137" s="125"/>
      <c r="K137" s="125"/>
      <c r="L137" s="125"/>
      <c r="M137" s="125"/>
      <c r="N137" s="125"/>
    </row>
    <row r="138" spans="1:14" s="75" customFormat="1" ht="15.75" hidden="1" x14ac:dyDescent="0.25">
      <c r="A138" s="215"/>
      <c r="B138" s="218"/>
      <c r="C138" s="217"/>
      <c r="D138" s="217"/>
      <c r="E138" s="217"/>
      <c r="F138" s="217"/>
      <c r="G138" s="344"/>
      <c r="H138" s="344"/>
      <c r="I138" s="102" t="e">
        <f t="shared" si="9"/>
        <v>#DIV/0!</v>
      </c>
      <c r="J138" s="125"/>
      <c r="K138" s="125"/>
      <c r="L138" s="125"/>
      <c r="M138" s="125"/>
      <c r="N138" s="125"/>
    </row>
    <row r="139" spans="1:14" s="75" customFormat="1" ht="15.75" hidden="1" x14ac:dyDescent="0.25">
      <c r="A139" s="116"/>
      <c r="B139" s="218"/>
      <c r="C139" s="217"/>
      <c r="D139" s="217"/>
      <c r="E139" s="217"/>
      <c r="F139" s="217"/>
      <c r="G139" s="344"/>
      <c r="H139" s="344"/>
      <c r="I139" s="102" t="e">
        <f t="shared" si="9"/>
        <v>#DIV/0!</v>
      </c>
      <c r="J139" s="125"/>
      <c r="K139" s="125"/>
      <c r="L139" s="125"/>
      <c r="M139" s="125"/>
      <c r="N139" s="125"/>
    </row>
    <row r="140" spans="1:14" s="75" customFormat="1" ht="15.75" hidden="1" x14ac:dyDescent="0.25">
      <c r="A140" s="116"/>
      <c r="B140" s="218"/>
      <c r="C140" s="217"/>
      <c r="D140" s="217"/>
      <c r="E140" s="217"/>
      <c r="F140" s="217"/>
      <c r="G140" s="344"/>
      <c r="H140" s="344"/>
      <c r="I140" s="102" t="e">
        <f t="shared" si="9"/>
        <v>#DIV/0!</v>
      </c>
      <c r="J140" s="125"/>
      <c r="K140" s="125"/>
      <c r="L140" s="125"/>
      <c r="M140" s="125"/>
      <c r="N140" s="125"/>
    </row>
    <row r="141" spans="1:14" s="75" customFormat="1" ht="15.75" hidden="1" x14ac:dyDescent="0.25">
      <c r="A141" s="26"/>
      <c r="B141" s="218"/>
      <c r="C141" s="217"/>
      <c r="D141" s="217"/>
      <c r="E141" s="217"/>
      <c r="F141" s="217"/>
      <c r="G141" s="342"/>
      <c r="H141" s="565"/>
      <c r="I141" s="102" t="e">
        <f t="shared" si="9"/>
        <v>#DIV/0!</v>
      </c>
      <c r="J141" s="125"/>
      <c r="K141" s="125"/>
      <c r="L141" s="125"/>
      <c r="M141" s="125"/>
      <c r="N141" s="125"/>
    </row>
    <row r="142" spans="1:14" s="131" customFormat="1" ht="47.25" hidden="1" x14ac:dyDescent="0.25">
      <c r="A142" s="19" t="s">
        <v>90</v>
      </c>
      <c r="B142" s="8" t="s">
        <v>758</v>
      </c>
      <c r="C142" s="217" t="s">
        <v>81</v>
      </c>
      <c r="D142" s="217" t="s">
        <v>96</v>
      </c>
      <c r="E142" s="217" t="s">
        <v>91</v>
      </c>
      <c r="F142" s="217"/>
      <c r="G142" s="342">
        <f>'Пр.4 Ведом23'!G313</f>
        <v>0</v>
      </c>
      <c r="H142" s="565">
        <f>'Пр.4 Ведом23'!H313</f>
        <v>0</v>
      </c>
      <c r="I142" s="102" t="e">
        <f t="shared" si="9"/>
        <v>#DIV/0!</v>
      </c>
      <c r="J142" s="125"/>
      <c r="K142" s="125"/>
      <c r="L142" s="125"/>
      <c r="M142" s="125"/>
      <c r="N142" s="125"/>
    </row>
    <row r="143" spans="1:14" s="131" customFormat="1" ht="47.25" hidden="1" x14ac:dyDescent="0.25">
      <c r="A143" s="26" t="s">
        <v>876</v>
      </c>
      <c r="B143" s="8" t="s">
        <v>758</v>
      </c>
      <c r="C143" s="217" t="s">
        <v>81</v>
      </c>
      <c r="D143" s="217" t="s">
        <v>96</v>
      </c>
      <c r="E143" s="217" t="s">
        <v>91</v>
      </c>
      <c r="F143" s="217" t="s">
        <v>237</v>
      </c>
      <c r="G143" s="342">
        <f>G142</f>
        <v>0</v>
      </c>
      <c r="H143" s="565">
        <f>H142</f>
        <v>0</v>
      </c>
      <c r="I143" s="102" t="e">
        <f t="shared" si="9"/>
        <v>#DIV/0!</v>
      </c>
      <c r="J143" s="125"/>
      <c r="K143" s="125"/>
      <c r="L143" s="125"/>
      <c r="M143" s="125"/>
      <c r="N143" s="125"/>
    </row>
    <row r="144" spans="1:14" ht="47.25" x14ac:dyDescent="0.25">
      <c r="A144" s="116" t="s">
        <v>884</v>
      </c>
      <c r="B144" s="117" t="s">
        <v>178</v>
      </c>
      <c r="C144" s="218"/>
      <c r="D144" s="217"/>
      <c r="E144" s="117"/>
      <c r="F144" s="217"/>
      <c r="G144" s="302">
        <f>G145+G155+G165</f>
        <v>1463.38231</v>
      </c>
      <c r="H144" s="567">
        <f>H145+H155+H165</f>
        <v>1463.38231</v>
      </c>
      <c r="I144" s="221">
        <f t="shared" si="9"/>
        <v>100</v>
      </c>
    </row>
    <row r="145" spans="1:14" ht="31.5" x14ac:dyDescent="0.25">
      <c r="A145" s="116" t="s">
        <v>463</v>
      </c>
      <c r="B145" s="117" t="s">
        <v>361</v>
      </c>
      <c r="C145" s="218"/>
      <c r="D145" s="217"/>
      <c r="E145" s="117"/>
      <c r="F145" s="217"/>
      <c r="G145" s="302">
        <f t="shared" ref="G145:H147" si="15">G146</f>
        <v>691.46731</v>
      </c>
      <c r="H145" s="567">
        <f t="shared" si="15"/>
        <v>691.46731</v>
      </c>
      <c r="I145" s="221">
        <f t="shared" ref="I145:I208" si="16">H145/G145*100</f>
        <v>100</v>
      </c>
    </row>
    <row r="146" spans="1:14" s="131" customFormat="1" ht="15.75" x14ac:dyDescent="0.25">
      <c r="A146" s="215" t="s">
        <v>133</v>
      </c>
      <c r="B146" s="218" t="s">
        <v>361</v>
      </c>
      <c r="C146" s="218" t="s">
        <v>134</v>
      </c>
      <c r="D146" s="217"/>
      <c r="E146" s="117"/>
      <c r="F146" s="217"/>
      <c r="G146" s="344">
        <f t="shared" si="15"/>
        <v>691.46731</v>
      </c>
      <c r="H146" s="344">
        <f t="shared" si="15"/>
        <v>691.46731</v>
      </c>
      <c r="I146" s="102">
        <f t="shared" si="16"/>
        <v>100</v>
      </c>
      <c r="J146" s="125"/>
      <c r="K146" s="125"/>
      <c r="L146" s="125"/>
      <c r="M146" s="125"/>
      <c r="N146" s="125"/>
    </row>
    <row r="147" spans="1:14" s="131" customFormat="1" ht="15.75" x14ac:dyDescent="0.25">
      <c r="A147" s="215" t="s">
        <v>141</v>
      </c>
      <c r="B147" s="218" t="s">
        <v>361</v>
      </c>
      <c r="C147" s="218" t="s">
        <v>134</v>
      </c>
      <c r="D147" s="217" t="s">
        <v>120</v>
      </c>
      <c r="E147" s="117"/>
      <c r="F147" s="217"/>
      <c r="G147" s="344">
        <f t="shared" si="15"/>
        <v>691.46731</v>
      </c>
      <c r="H147" s="344">
        <f t="shared" si="15"/>
        <v>691.46731</v>
      </c>
      <c r="I147" s="102">
        <f t="shared" si="16"/>
        <v>100</v>
      </c>
      <c r="J147" s="125"/>
      <c r="K147" s="125"/>
      <c r="L147" s="125"/>
      <c r="M147" s="125"/>
      <c r="N147" s="125"/>
    </row>
    <row r="148" spans="1:14" ht="47.25" x14ac:dyDescent="0.25">
      <c r="A148" s="26" t="s">
        <v>464</v>
      </c>
      <c r="B148" s="218" t="s">
        <v>576</v>
      </c>
      <c r="C148" s="218" t="s">
        <v>134</v>
      </c>
      <c r="D148" s="217" t="s">
        <v>120</v>
      </c>
      <c r="E148" s="218"/>
      <c r="F148" s="217"/>
      <c r="G148" s="344">
        <f>G149+G152</f>
        <v>691.46731</v>
      </c>
      <c r="H148" s="344">
        <f>H149+H152</f>
        <v>691.46731</v>
      </c>
      <c r="I148" s="102">
        <f t="shared" si="16"/>
        <v>100</v>
      </c>
    </row>
    <row r="149" spans="1:14" s="75" customFormat="1" ht="31.5" x14ac:dyDescent="0.25">
      <c r="A149" s="215" t="s">
        <v>88</v>
      </c>
      <c r="B149" s="218" t="s">
        <v>576</v>
      </c>
      <c r="C149" s="218" t="s">
        <v>134</v>
      </c>
      <c r="D149" s="217" t="s">
        <v>120</v>
      </c>
      <c r="E149" s="218" t="s">
        <v>89</v>
      </c>
      <c r="F149" s="217"/>
      <c r="G149" s="342">
        <f>G150</f>
        <v>134.86731</v>
      </c>
      <c r="H149" s="565">
        <f>H150</f>
        <v>134.86731</v>
      </c>
      <c r="I149" s="102">
        <f t="shared" si="16"/>
        <v>100</v>
      </c>
      <c r="J149" s="125"/>
      <c r="K149" s="125"/>
      <c r="L149" s="125"/>
      <c r="M149" s="125"/>
      <c r="N149" s="125"/>
    </row>
    <row r="150" spans="1:14" ht="47.25" x14ac:dyDescent="0.25">
      <c r="A150" s="215" t="s">
        <v>90</v>
      </c>
      <c r="B150" s="218" t="s">
        <v>576</v>
      </c>
      <c r="C150" s="218" t="s">
        <v>134</v>
      </c>
      <c r="D150" s="217" t="s">
        <v>120</v>
      </c>
      <c r="E150" s="218" t="s">
        <v>91</v>
      </c>
      <c r="F150" s="217"/>
      <c r="G150" s="344">
        <f>'Пр.4 Ведом23'!G601</f>
        <v>134.86731</v>
      </c>
      <c r="H150" s="344">
        <f>'Пр.4 Ведом23'!H601</f>
        <v>134.86731</v>
      </c>
      <c r="I150" s="102">
        <f t="shared" si="16"/>
        <v>100</v>
      </c>
    </row>
    <row r="151" spans="1:14" s="131" customFormat="1" ht="47.25" x14ac:dyDescent="0.25">
      <c r="A151" s="26" t="s">
        <v>876</v>
      </c>
      <c r="B151" s="218" t="s">
        <v>576</v>
      </c>
      <c r="C151" s="218" t="s">
        <v>134</v>
      </c>
      <c r="D151" s="217" t="s">
        <v>120</v>
      </c>
      <c r="E151" s="218" t="s">
        <v>91</v>
      </c>
      <c r="F151" s="217" t="s">
        <v>237</v>
      </c>
      <c r="G151" s="344">
        <f>G150</f>
        <v>134.86731</v>
      </c>
      <c r="H151" s="344">
        <f>H150</f>
        <v>134.86731</v>
      </c>
      <c r="I151" s="102">
        <f t="shared" si="16"/>
        <v>100</v>
      </c>
      <c r="J151" s="125"/>
      <c r="K151" s="125"/>
      <c r="L151" s="125"/>
      <c r="M151" s="125"/>
      <c r="N151" s="125"/>
    </row>
    <row r="152" spans="1:14" ht="31.5" x14ac:dyDescent="0.25">
      <c r="A152" s="215" t="s">
        <v>137</v>
      </c>
      <c r="B152" s="218" t="s">
        <v>576</v>
      </c>
      <c r="C152" s="218" t="s">
        <v>134</v>
      </c>
      <c r="D152" s="217" t="s">
        <v>120</v>
      </c>
      <c r="E152" s="218" t="s">
        <v>138</v>
      </c>
      <c r="F152" s="217"/>
      <c r="G152" s="342">
        <f>G153</f>
        <v>556.6</v>
      </c>
      <c r="H152" s="565">
        <f>H153</f>
        <v>556.6</v>
      </c>
      <c r="I152" s="102">
        <f t="shared" si="16"/>
        <v>100</v>
      </c>
    </row>
    <row r="153" spans="1:14" s="75" customFormat="1" ht="31.5" x14ac:dyDescent="0.25">
      <c r="A153" s="215" t="s">
        <v>172</v>
      </c>
      <c r="B153" s="218" t="s">
        <v>576</v>
      </c>
      <c r="C153" s="218" t="s">
        <v>134</v>
      </c>
      <c r="D153" s="217" t="s">
        <v>120</v>
      </c>
      <c r="E153" s="218" t="s">
        <v>173</v>
      </c>
      <c r="F153" s="217"/>
      <c r="G153" s="342">
        <f>'Пр.4 Ведом23'!G603</f>
        <v>556.6</v>
      </c>
      <c r="H153" s="565">
        <f>'Пр.4 Ведом23'!H603</f>
        <v>556.6</v>
      </c>
      <c r="I153" s="102">
        <f t="shared" si="16"/>
        <v>100</v>
      </c>
      <c r="J153" s="125"/>
      <c r="K153" s="125"/>
      <c r="L153" s="125"/>
      <c r="M153" s="125"/>
      <c r="N153" s="125"/>
    </row>
    <row r="154" spans="1:14" s="131" customFormat="1" ht="47.25" x14ac:dyDescent="0.25">
      <c r="A154" s="26" t="s">
        <v>876</v>
      </c>
      <c r="B154" s="218" t="s">
        <v>576</v>
      </c>
      <c r="C154" s="218" t="s">
        <v>134</v>
      </c>
      <c r="D154" s="217" t="s">
        <v>120</v>
      </c>
      <c r="E154" s="218" t="s">
        <v>173</v>
      </c>
      <c r="F154" s="217" t="s">
        <v>237</v>
      </c>
      <c r="G154" s="342">
        <f>G153</f>
        <v>556.6</v>
      </c>
      <c r="H154" s="565">
        <f>H153</f>
        <v>556.6</v>
      </c>
      <c r="I154" s="102">
        <f t="shared" si="16"/>
        <v>100</v>
      </c>
      <c r="J154" s="125"/>
      <c r="K154" s="125"/>
      <c r="L154" s="125"/>
      <c r="M154" s="125"/>
      <c r="N154" s="125"/>
    </row>
    <row r="155" spans="1:14" s="131" customFormat="1" ht="31.5" x14ac:dyDescent="0.25">
      <c r="A155" s="116" t="s">
        <v>580</v>
      </c>
      <c r="B155" s="117" t="s">
        <v>578</v>
      </c>
      <c r="C155" s="218"/>
      <c r="D155" s="217"/>
      <c r="E155" s="117"/>
      <c r="F155" s="217"/>
      <c r="G155" s="343">
        <f t="shared" ref="G155:H157" si="17">G156</f>
        <v>155</v>
      </c>
      <c r="H155" s="566">
        <f t="shared" si="17"/>
        <v>155</v>
      </c>
      <c r="I155" s="221">
        <f t="shared" si="16"/>
        <v>100</v>
      </c>
      <c r="J155" s="125"/>
      <c r="K155" s="125"/>
      <c r="L155" s="125"/>
      <c r="M155" s="125"/>
      <c r="N155" s="125"/>
    </row>
    <row r="156" spans="1:14" s="131" customFormat="1" ht="15.75" x14ac:dyDescent="0.25">
      <c r="A156" s="215" t="s">
        <v>133</v>
      </c>
      <c r="B156" s="218" t="s">
        <v>578</v>
      </c>
      <c r="C156" s="218" t="s">
        <v>134</v>
      </c>
      <c r="D156" s="217"/>
      <c r="E156" s="117"/>
      <c r="F156" s="217"/>
      <c r="G156" s="342">
        <f t="shared" si="17"/>
        <v>155</v>
      </c>
      <c r="H156" s="565">
        <f t="shared" si="17"/>
        <v>155</v>
      </c>
      <c r="I156" s="102">
        <f t="shared" si="16"/>
        <v>100</v>
      </c>
      <c r="J156" s="125"/>
      <c r="K156" s="125"/>
      <c r="L156" s="125"/>
      <c r="M156" s="125"/>
      <c r="N156" s="125"/>
    </row>
    <row r="157" spans="1:14" s="131" customFormat="1" ht="15.75" x14ac:dyDescent="0.25">
      <c r="A157" s="215" t="s">
        <v>141</v>
      </c>
      <c r="B157" s="218" t="s">
        <v>578</v>
      </c>
      <c r="C157" s="218" t="s">
        <v>134</v>
      </c>
      <c r="D157" s="217" t="s">
        <v>120</v>
      </c>
      <c r="E157" s="117"/>
      <c r="F157" s="217"/>
      <c r="G157" s="342">
        <f t="shared" si="17"/>
        <v>155</v>
      </c>
      <c r="H157" s="565">
        <f t="shared" si="17"/>
        <v>155</v>
      </c>
      <c r="I157" s="102">
        <f t="shared" si="16"/>
        <v>100</v>
      </c>
      <c r="J157" s="125"/>
      <c r="K157" s="125"/>
      <c r="L157" s="125"/>
      <c r="M157" s="125"/>
      <c r="N157" s="125"/>
    </row>
    <row r="158" spans="1:14" s="131" customFormat="1" ht="31.5" x14ac:dyDescent="0.25">
      <c r="A158" s="215" t="s">
        <v>577</v>
      </c>
      <c r="B158" s="218" t="s">
        <v>579</v>
      </c>
      <c r="C158" s="218" t="s">
        <v>134</v>
      </c>
      <c r="D158" s="217" t="s">
        <v>120</v>
      </c>
      <c r="E158" s="218"/>
      <c r="F158" s="217"/>
      <c r="G158" s="342">
        <f>G159+G162</f>
        <v>155</v>
      </c>
      <c r="H158" s="565">
        <f>H159+H162</f>
        <v>155</v>
      </c>
      <c r="I158" s="102">
        <f t="shared" si="16"/>
        <v>100</v>
      </c>
      <c r="J158" s="125"/>
      <c r="K158" s="125"/>
      <c r="L158" s="125"/>
      <c r="M158" s="125"/>
      <c r="N158" s="125"/>
    </row>
    <row r="159" spans="1:14" s="131" customFormat="1" ht="31.5" hidden="1" x14ac:dyDescent="0.25">
      <c r="A159" s="215" t="s">
        <v>88</v>
      </c>
      <c r="B159" s="218" t="s">
        <v>579</v>
      </c>
      <c r="C159" s="218" t="s">
        <v>134</v>
      </c>
      <c r="D159" s="217" t="s">
        <v>120</v>
      </c>
      <c r="E159" s="218" t="s">
        <v>89</v>
      </c>
      <c r="F159" s="217"/>
      <c r="G159" s="342">
        <f>G160</f>
        <v>0</v>
      </c>
      <c r="H159" s="565">
        <f>H160</f>
        <v>0</v>
      </c>
      <c r="I159" s="102" t="e">
        <f t="shared" si="16"/>
        <v>#DIV/0!</v>
      </c>
      <c r="J159" s="125"/>
      <c r="K159" s="125"/>
      <c r="L159" s="125"/>
      <c r="M159" s="125"/>
      <c r="N159" s="125"/>
    </row>
    <row r="160" spans="1:14" s="131" customFormat="1" ht="47.25" hidden="1" x14ac:dyDescent="0.25">
      <c r="A160" s="215" t="s">
        <v>90</v>
      </c>
      <c r="B160" s="218" t="s">
        <v>579</v>
      </c>
      <c r="C160" s="218" t="s">
        <v>134</v>
      </c>
      <c r="D160" s="217" t="s">
        <v>120</v>
      </c>
      <c r="E160" s="218" t="s">
        <v>91</v>
      </c>
      <c r="F160" s="217"/>
      <c r="G160" s="342">
        <f>'Пр.4 Ведом23'!G607</f>
        <v>0</v>
      </c>
      <c r="H160" s="565">
        <f>'Пр.4 Ведом23'!H607</f>
        <v>0</v>
      </c>
      <c r="I160" s="102" t="e">
        <f t="shared" si="16"/>
        <v>#DIV/0!</v>
      </c>
      <c r="J160" s="125"/>
      <c r="K160" s="125"/>
      <c r="L160" s="125"/>
      <c r="M160" s="125"/>
      <c r="N160" s="125"/>
    </row>
    <row r="161" spans="1:14" s="131" customFormat="1" ht="47.25" hidden="1" x14ac:dyDescent="0.25">
      <c r="A161" s="26" t="s">
        <v>876</v>
      </c>
      <c r="B161" s="218" t="s">
        <v>579</v>
      </c>
      <c r="C161" s="218" t="s">
        <v>134</v>
      </c>
      <c r="D161" s="217" t="s">
        <v>120</v>
      </c>
      <c r="E161" s="218" t="s">
        <v>91</v>
      </c>
      <c r="F161" s="217" t="s">
        <v>237</v>
      </c>
      <c r="G161" s="342">
        <f>G160</f>
        <v>0</v>
      </c>
      <c r="H161" s="565">
        <f>H160</f>
        <v>0</v>
      </c>
      <c r="I161" s="102" t="e">
        <f t="shared" si="16"/>
        <v>#DIV/0!</v>
      </c>
      <c r="J161" s="125"/>
      <c r="K161" s="125"/>
      <c r="L161" s="125"/>
      <c r="M161" s="125"/>
      <c r="N161" s="125"/>
    </row>
    <row r="162" spans="1:14" ht="33" customHeight="1" x14ac:dyDescent="0.25">
      <c r="A162" s="215" t="s">
        <v>137</v>
      </c>
      <c r="B162" s="218" t="s">
        <v>579</v>
      </c>
      <c r="C162" s="218" t="s">
        <v>134</v>
      </c>
      <c r="D162" s="217" t="s">
        <v>120</v>
      </c>
      <c r="E162" s="218" t="s">
        <v>138</v>
      </c>
      <c r="F162" s="217"/>
      <c r="G162" s="342">
        <f>G163</f>
        <v>155</v>
      </c>
      <c r="H162" s="565">
        <f>H163</f>
        <v>155</v>
      </c>
      <c r="I162" s="102">
        <f t="shared" si="16"/>
        <v>100</v>
      </c>
    </row>
    <row r="163" spans="1:14" s="75" customFormat="1" ht="28.5" customHeight="1" x14ac:dyDescent="0.25">
      <c r="A163" s="215" t="s">
        <v>172</v>
      </c>
      <c r="B163" s="218" t="s">
        <v>579</v>
      </c>
      <c r="C163" s="218" t="s">
        <v>134</v>
      </c>
      <c r="D163" s="217" t="s">
        <v>120</v>
      </c>
      <c r="E163" s="218" t="s">
        <v>173</v>
      </c>
      <c r="F163" s="217"/>
      <c r="G163" s="344">
        <f>'Пр.4 Ведом23'!G609</f>
        <v>155</v>
      </c>
      <c r="H163" s="344">
        <f>'Пр.4 Ведом23'!H609</f>
        <v>155</v>
      </c>
      <c r="I163" s="102">
        <f t="shared" si="16"/>
        <v>100</v>
      </c>
      <c r="J163" s="125"/>
      <c r="K163" s="125"/>
      <c r="L163" s="125"/>
      <c r="M163" s="125"/>
      <c r="N163" s="125"/>
    </row>
    <row r="164" spans="1:14" s="131" customFormat="1" ht="47.25" x14ac:dyDescent="0.25">
      <c r="A164" s="26" t="s">
        <v>876</v>
      </c>
      <c r="B164" s="218" t="s">
        <v>579</v>
      </c>
      <c r="C164" s="218" t="s">
        <v>134</v>
      </c>
      <c r="D164" s="217" t="s">
        <v>120</v>
      </c>
      <c r="E164" s="218" t="s">
        <v>173</v>
      </c>
      <c r="F164" s="217" t="s">
        <v>237</v>
      </c>
      <c r="G164" s="344">
        <f>G163</f>
        <v>155</v>
      </c>
      <c r="H164" s="344">
        <f>H163</f>
        <v>155</v>
      </c>
      <c r="I164" s="102">
        <f t="shared" si="16"/>
        <v>100</v>
      </c>
      <c r="J164" s="125"/>
      <c r="K164" s="125"/>
      <c r="L164" s="125"/>
      <c r="M164" s="125"/>
      <c r="N164" s="125"/>
    </row>
    <row r="165" spans="1:14" s="131" customFormat="1" ht="31.5" x14ac:dyDescent="0.25">
      <c r="A165" s="116" t="s">
        <v>426</v>
      </c>
      <c r="B165" s="117" t="s">
        <v>573</v>
      </c>
      <c r="C165" s="117"/>
      <c r="D165" s="217"/>
      <c r="E165" s="117"/>
      <c r="F165" s="217"/>
      <c r="G165" s="302">
        <f>G166+G172</f>
        <v>616.91499999999996</v>
      </c>
      <c r="H165" s="567">
        <f>H166+H172</f>
        <v>616.91499999999996</v>
      </c>
      <c r="I165" s="221">
        <f t="shared" si="16"/>
        <v>100</v>
      </c>
      <c r="J165" s="125"/>
      <c r="K165" s="125"/>
      <c r="L165" s="125"/>
      <c r="M165" s="125"/>
      <c r="N165" s="125"/>
    </row>
    <row r="166" spans="1:14" s="131" customFormat="1" ht="15.75" x14ac:dyDescent="0.25">
      <c r="A166" s="215" t="s">
        <v>158</v>
      </c>
      <c r="B166" s="218" t="s">
        <v>573</v>
      </c>
      <c r="C166" s="218" t="s">
        <v>159</v>
      </c>
      <c r="D166" s="217"/>
      <c r="E166" s="117"/>
      <c r="F166" s="217"/>
      <c r="G166" s="344">
        <f t="shared" ref="G166:H169" si="18">G167</f>
        <v>296.91499999999996</v>
      </c>
      <c r="H166" s="344">
        <f t="shared" si="18"/>
        <v>296.91500000000002</v>
      </c>
      <c r="I166" s="102">
        <f t="shared" si="16"/>
        <v>100.00000000000003</v>
      </c>
      <c r="J166" s="125"/>
      <c r="K166" s="125"/>
      <c r="L166" s="125"/>
      <c r="M166" s="125"/>
      <c r="N166" s="125"/>
    </row>
    <row r="167" spans="1:14" s="131" customFormat="1" ht="31.5" x14ac:dyDescent="0.25">
      <c r="A167" s="215" t="s">
        <v>164</v>
      </c>
      <c r="B167" s="218" t="s">
        <v>573</v>
      </c>
      <c r="C167" s="218" t="s">
        <v>159</v>
      </c>
      <c r="D167" s="217" t="s">
        <v>103</v>
      </c>
      <c r="E167" s="117"/>
      <c r="F167" s="217"/>
      <c r="G167" s="344">
        <f t="shared" si="18"/>
        <v>296.91499999999996</v>
      </c>
      <c r="H167" s="344">
        <f t="shared" si="18"/>
        <v>296.91500000000002</v>
      </c>
      <c r="I167" s="102">
        <f t="shared" si="16"/>
        <v>100.00000000000003</v>
      </c>
      <c r="J167" s="125"/>
      <c r="K167" s="125"/>
      <c r="L167" s="125"/>
      <c r="M167" s="125"/>
      <c r="N167" s="125"/>
    </row>
    <row r="168" spans="1:14" s="131" customFormat="1" ht="31.5" x14ac:dyDescent="0.25">
      <c r="A168" s="215" t="s">
        <v>425</v>
      </c>
      <c r="B168" s="218" t="s">
        <v>574</v>
      </c>
      <c r="C168" s="218" t="s">
        <v>159</v>
      </c>
      <c r="D168" s="217" t="s">
        <v>103</v>
      </c>
      <c r="E168" s="117"/>
      <c r="F168" s="217"/>
      <c r="G168" s="344">
        <f t="shared" si="18"/>
        <v>296.91499999999996</v>
      </c>
      <c r="H168" s="344">
        <f t="shared" si="18"/>
        <v>296.91500000000002</v>
      </c>
      <c r="I168" s="102">
        <f t="shared" si="16"/>
        <v>100.00000000000003</v>
      </c>
      <c r="J168" s="125"/>
      <c r="K168" s="125"/>
      <c r="L168" s="125"/>
      <c r="M168" s="125"/>
      <c r="N168" s="125"/>
    </row>
    <row r="169" spans="1:14" s="131" customFormat="1" ht="31.5" x14ac:dyDescent="0.25">
      <c r="A169" s="215" t="s">
        <v>88</v>
      </c>
      <c r="B169" s="218" t="s">
        <v>574</v>
      </c>
      <c r="C169" s="218" t="s">
        <v>159</v>
      </c>
      <c r="D169" s="217" t="s">
        <v>103</v>
      </c>
      <c r="E169" s="218" t="s">
        <v>89</v>
      </c>
      <c r="F169" s="217"/>
      <c r="G169" s="344">
        <f t="shared" si="18"/>
        <v>296.91499999999996</v>
      </c>
      <c r="H169" s="344">
        <f t="shared" si="18"/>
        <v>296.91500000000002</v>
      </c>
      <c r="I169" s="102">
        <f t="shared" si="16"/>
        <v>100.00000000000003</v>
      </c>
      <c r="J169" s="125"/>
      <c r="K169" s="125"/>
      <c r="L169" s="125"/>
      <c r="M169" s="125"/>
      <c r="N169" s="125"/>
    </row>
    <row r="170" spans="1:14" s="131" customFormat="1" ht="47.25" x14ac:dyDescent="0.25">
      <c r="A170" s="215" t="s">
        <v>90</v>
      </c>
      <c r="B170" s="218" t="s">
        <v>574</v>
      </c>
      <c r="C170" s="218" t="s">
        <v>159</v>
      </c>
      <c r="D170" s="217" t="s">
        <v>103</v>
      </c>
      <c r="E170" s="218" t="s">
        <v>91</v>
      </c>
      <c r="F170" s="217"/>
      <c r="G170" s="344">
        <f>'Пр.4 Ведом23'!G583</f>
        <v>296.91499999999996</v>
      </c>
      <c r="H170" s="344">
        <f>'Пр.4 Ведом23'!H583</f>
        <v>296.91500000000002</v>
      </c>
      <c r="I170" s="102">
        <f t="shared" si="16"/>
        <v>100.00000000000003</v>
      </c>
      <c r="J170" s="125"/>
      <c r="K170" s="125"/>
      <c r="L170" s="125"/>
      <c r="M170" s="125"/>
      <c r="N170" s="125"/>
    </row>
    <row r="171" spans="1:14" s="131" customFormat="1" ht="47.25" x14ac:dyDescent="0.25">
      <c r="A171" s="26" t="s">
        <v>876</v>
      </c>
      <c r="B171" s="218" t="s">
        <v>574</v>
      </c>
      <c r="C171" s="218" t="s">
        <v>159</v>
      </c>
      <c r="D171" s="217" t="s">
        <v>103</v>
      </c>
      <c r="E171" s="218" t="s">
        <v>91</v>
      </c>
      <c r="F171" s="217" t="s">
        <v>237</v>
      </c>
      <c r="G171" s="344">
        <f>G170</f>
        <v>296.91499999999996</v>
      </c>
      <c r="H171" s="344">
        <f>H170</f>
        <v>296.91500000000002</v>
      </c>
      <c r="I171" s="102">
        <f t="shared" si="16"/>
        <v>100.00000000000003</v>
      </c>
      <c r="J171" s="125"/>
      <c r="K171" s="125"/>
      <c r="L171" s="125"/>
      <c r="M171" s="125"/>
      <c r="N171" s="125"/>
    </row>
    <row r="172" spans="1:14" s="131" customFormat="1" ht="15.75" x14ac:dyDescent="0.25">
      <c r="A172" s="215" t="s">
        <v>133</v>
      </c>
      <c r="B172" s="218" t="s">
        <v>573</v>
      </c>
      <c r="C172" s="218" t="s">
        <v>134</v>
      </c>
      <c r="D172" s="217"/>
      <c r="E172" s="117"/>
      <c r="F172" s="217"/>
      <c r="G172" s="344">
        <f t="shared" ref="G172:H175" si="19">G173</f>
        <v>320</v>
      </c>
      <c r="H172" s="344">
        <f t="shared" si="19"/>
        <v>320</v>
      </c>
      <c r="I172" s="102">
        <f t="shared" si="16"/>
        <v>100</v>
      </c>
      <c r="J172" s="125"/>
      <c r="K172" s="125"/>
      <c r="L172" s="125"/>
      <c r="M172" s="125"/>
      <c r="N172" s="125"/>
    </row>
    <row r="173" spans="1:14" s="131" customFormat="1" ht="15.75" x14ac:dyDescent="0.25">
      <c r="A173" s="215" t="s">
        <v>141</v>
      </c>
      <c r="B173" s="218" t="s">
        <v>573</v>
      </c>
      <c r="C173" s="218" t="s">
        <v>134</v>
      </c>
      <c r="D173" s="217" t="s">
        <v>120</v>
      </c>
      <c r="E173" s="117"/>
      <c r="F173" s="217"/>
      <c r="G173" s="344">
        <f t="shared" si="19"/>
        <v>320</v>
      </c>
      <c r="H173" s="344">
        <f t="shared" si="19"/>
        <v>320</v>
      </c>
      <c r="I173" s="102">
        <f t="shared" si="16"/>
        <v>100</v>
      </c>
      <c r="J173" s="125"/>
      <c r="K173" s="125"/>
      <c r="L173" s="125"/>
      <c r="M173" s="125"/>
      <c r="N173" s="125"/>
    </row>
    <row r="174" spans="1:14" ht="15.75" x14ac:dyDescent="0.25">
      <c r="A174" s="215" t="s">
        <v>461</v>
      </c>
      <c r="B174" s="218" t="s">
        <v>575</v>
      </c>
      <c r="C174" s="218" t="s">
        <v>134</v>
      </c>
      <c r="D174" s="217" t="s">
        <v>120</v>
      </c>
      <c r="E174" s="218"/>
      <c r="F174" s="217"/>
      <c r="G174" s="342">
        <f t="shared" si="19"/>
        <v>320</v>
      </c>
      <c r="H174" s="565">
        <f t="shared" si="19"/>
        <v>320</v>
      </c>
      <c r="I174" s="102">
        <f t="shared" si="16"/>
        <v>100</v>
      </c>
    </row>
    <row r="175" spans="1:14" ht="31.5" x14ac:dyDescent="0.25">
      <c r="A175" s="215" t="s">
        <v>137</v>
      </c>
      <c r="B175" s="218" t="s">
        <v>575</v>
      </c>
      <c r="C175" s="218" t="s">
        <v>134</v>
      </c>
      <c r="D175" s="217" t="s">
        <v>120</v>
      </c>
      <c r="E175" s="218" t="s">
        <v>138</v>
      </c>
      <c r="F175" s="217"/>
      <c r="G175" s="342">
        <f t="shared" si="19"/>
        <v>320</v>
      </c>
      <c r="H175" s="565">
        <f t="shared" si="19"/>
        <v>320</v>
      </c>
      <c r="I175" s="102">
        <f t="shared" si="16"/>
        <v>100</v>
      </c>
    </row>
    <row r="176" spans="1:14" s="131" customFormat="1" ht="31.5" x14ac:dyDescent="0.25">
      <c r="A176" s="215" t="s">
        <v>172</v>
      </c>
      <c r="B176" s="218" t="s">
        <v>575</v>
      </c>
      <c r="C176" s="218" t="s">
        <v>134</v>
      </c>
      <c r="D176" s="217" t="s">
        <v>120</v>
      </c>
      <c r="E176" s="218" t="s">
        <v>173</v>
      </c>
      <c r="F176" s="217"/>
      <c r="G176" s="342">
        <f>'Пр.4 Ведом23'!G613</f>
        <v>320</v>
      </c>
      <c r="H176" s="565">
        <f>'Пр.4 Ведом23'!H613</f>
        <v>320</v>
      </c>
      <c r="I176" s="102">
        <f t="shared" si="16"/>
        <v>100</v>
      </c>
      <c r="J176" s="125"/>
      <c r="K176" s="125"/>
      <c r="L176" s="125"/>
      <c r="M176" s="125"/>
      <c r="N176" s="125"/>
    </row>
    <row r="177" spans="1:15" ht="32.25" customHeight="1" x14ac:dyDescent="0.25">
      <c r="A177" s="26" t="s">
        <v>876</v>
      </c>
      <c r="B177" s="218" t="s">
        <v>575</v>
      </c>
      <c r="C177" s="218" t="s">
        <v>134</v>
      </c>
      <c r="D177" s="217" t="s">
        <v>120</v>
      </c>
      <c r="E177" s="218" t="s">
        <v>173</v>
      </c>
      <c r="F177" s="217" t="s">
        <v>237</v>
      </c>
      <c r="G177" s="344">
        <f>G176</f>
        <v>320</v>
      </c>
      <c r="H177" s="344">
        <f>H176</f>
        <v>320</v>
      </c>
      <c r="I177" s="102">
        <f t="shared" si="16"/>
        <v>100</v>
      </c>
    </row>
    <row r="178" spans="1:15" s="75" customFormat="1" ht="47.25" x14ac:dyDescent="0.25">
      <c r="A178" s="116" t="s">
        <v>885</v>
      </c>
      <c r="B178" s="117" t="s">
        <v>189</v>
      </c>
      <c r="C178" s="117"/>
      <c r="D178" s="217"/>
      <c r="E178" s="217"/>
      <c r="F178" s="217"/>
      <c r="G178" s="343">
        <f>G179+G206+G227+G269+G309+G337+G344+G351+G276+G321+G358</f>
        <v>370742.54544999998</v>
      </c>
      <c r="H178" s="566">
        <f>H179+H206+H227+H269+H309+H337+H344+H351+H276+H321+H358</f>
        <v>366906.53215999989</v>
      </c>
      <c r="I178" s="221">
        <f t="shared" si="16"/>
        <v>98.965316137282272</v>
      </c>
      <c r="J178" s="125"/>
      <c r="K178" s="125"/>
      <c r="L178" s="125"/>
      <c r="M178" s="125"/>
      <c r="N178" s="125"/>
      <c r="O178" s="15"/>
    </row>
    <row r="179" spans="1:15" ht="31.5" x14ac:dyDescent="0.25">
      <c r="A179" s="116" t="s">
        <v>375</v>
      </c>
      <c r="B179" s="117" t="s">
        <v>582</v>
      </c>
      <c r="C179" s="117"/>
      <c r="D179" s="6"/>
      <c r="E179" s="6"/>
      <c r="F179" s="6"/>
      <c r="G179" s="302">
        <f>G180</f>
        <v>87591.082709999988</v>
      </c>
      <c r="H179" s="567">
        <f>H180</f>
        <v>85777.999710000004</v>
      </c>
      <c r="I179" s="221">
        <f t="shared" si="16"/>
        <v>97.930059837252145</v>
      </c>
    </row>
    <row r="180" spans="1:15" s="131" customFormat="1" ht="15.75" x14ac:dyDescent="0.25">
      <c r="A180" s="19" t="s">
        <v>144</v>
      </c>
      <c r="B180" s="218" t="s">
        <v>582</v>
      </c>
      <c r="C180" s="218" t="s">
        <v>145</v>
      </c>
      <c r="D180" s="217"/>
      <c r="E180" s="6"/>
      <c r="F180" s="6"/>
      <c r="G180" s="302">
        <f>G181+G186+G195</f>
        <v>87591.082709999988</v>
      </c>
      <c r="H180" s="567">
        <f>H181+H186+H195</f>
        <v>85777.999710000004</v>
      </c>
      <c r="I180" s="221">
        <f t="shared" si="16"/>
        <v>97.930059837252145</v>
      </c>
      <c r="J180" s="125"/>
      <c r="K180" s="125"/>
      <c r="L180" s="125"/>
      <c r="M180" s="125"/>
      <c r="N180" s="125"/>
    </row>
    <row r="181" spans="1:15" s="131" customFormat="1" ht="15.75" x14ac:dyDescent="0.25">
      <c r="A181" s="26" t="s">
        <v>188</v>
      </c>
      <c r="B181" s="218" t="s">
        <v>582</v>
      </c>
      <c r="C181" s="218" t="s">
        <v>145</v>
      </c>
      <c r="D181" s="217" t="s">
        <v>81</v>
      </c>
      <c r="E181" s="6"/>
      <c r="F181" s="6"/>
      <c r="G181" s="344">
        <f t="shared" ref="G181:H183" si="20">G182</f>
        <v>17214.309999999998</v>
      </c>
      <c r="H181" s="344">
        <f t="shared" si="20"/>
        <v>16949.782999999999</v>
      </c>
      <c r="I181" s="102">
        <f t="shared" si="16"/>
        <v>98.463330798620461</v>
      </c>
      <c r="J181" s="125"/>
      <c r="K181" s="125"/>
      <c r="L181" s="125"/>
      <c r="M181" s="125"/>
      <c r="N181" s="125"/>
    </row>
    <row r="182" spans="1:15" s="75" customFormat="1" ht="47.25" x14ac:dyDescent="0.25">
      <c r="A182" s="215" t="s">
        <v>581</v>
      </c>
      <c r="B182" s="218" t="s">
        <v>583</v>
      </c>
      <c r="C182" s="218" t="s">
        <v>145</v>
      </c>
      <c r="D182" s="217" t="s">
        <v>81</v>
      </c>
      <c r="E182" s="6"/>
      <c r="F182" s="6"/>
      <c r="G182" s="344">
        <f t="shared" si="20"/>
        <v>17214.309999999998</v>
      </c>
      <c r="H182" s="344">
        <f t="shared" si="20"/>
        <v>16949.782999999999</v>
      </c>
      <c r="I182" s="102">
        <f t="shared" si="16"/>
        <v>98.463330798620461</v>
      </c>
      <c r="J182" s="125"/>
      <c r="K182" s="125"/>
      <c r="L182" s="125"/>
      <c r="M182" s="125"/>
      <c r="N182" s="125"/>
    </row>
    <row r="183" spans="1:15" ht="47.25" x14ac:dyDescent="0.25">
      <c r="A183" s="215" t="s">
        <v>149</v>
      </c>
      <c r="B183" s="218" t="s">
        <v>583</v>
      </c>
      <c r="C183" s="218" t="s">
        <v>145</v>
      </c>
      <c r="D183" s="217" t="s">
        <v>81</v>
      </c>
      <c r="E183" s="217" t="s">
        <v>150</v>
      </c>
      <c r="F183" s="217"/>
      <c r="G183" s="344">
        <f t="shared" si="20"/>
        <v>17214.309999999998</v>
      </c>
      <c r="H183" s="344">
        <f t="shared" si="20"/>
        <v>16949.782999999999</v>
      </c>
      <c r="I183" s="102">
        <f t="shared" si="16"/>
        <v>98.463330798620461</v>
      </c>
    </row>
    <row r="184" spans="1:15" ht="15.75" x14ac:dyDescent="0.25">
      <c r="A184" s="215" t="s">
        <v>151</v>
      </c>
      <c r="B184" s="218" t="s">
        <v>583</v>
      </c>
      <c r="C184" s="218" t="s">
        <v>145</v>
      </c>
      <c r="D184" s="217" t="s">
        <v>81</v>
      </c>
      <c r="E184" s="217" t="s">
        <v>152</v>
      </c>
      <c r="F184" s="217"/>
      <c r="G184" s="344">
        <f>'Пр.4 Ведом23'!G728</f>
        <v>17214.309999999998</v>
      </c>
      <c r="H184" s="344">
        <f>'Пр.4 Ведом23'!H728</f>
        <v>16949.782999999999</v>
      </c>
      <c r="I184" s="102">
        <f t="shared" si="16"/>
        <v>98.463330798620461</v>
      </c>
    </row>
    <row r="185" spans="1:15" ht="31.5" x14ac:dyDescent="0.25">
      <c r="A185" s="19" t="s">
        <v>878</v>
      </c>
      <c r="B185" s="218" t="s">
        <v>583</v>
      </c>
      <c r="C185" s="217" t="s">
        <v>145</v>
      </c>
      <c r="D185" s="217" t="s">
        <v>81</v>
      </c>
      <c r="E185" s="217" t="s">
        <v>152</v>
      </c>
      <c r="F185" s="217" t="s">
        <v>238</v>
      </c>
      <c r="G185" s="344">
        <f>G184</f>
        <v>17214.309999999998</v>
      </c>
      <c r="H185" s="344">
        <f>H184</f>
        <v>16949.782999999999</v>
      </c>
      <c r="I185" s="102">
        <f t="shared" si="16"/>
        <v>98.463330798620461</v>
      </c>
    </row>
    <row r="186" spans="1:15" ht="15.75" x14ac:dyDescent="0.25">
      <c r="A186" s="19" t="s">
        <v>190</v>
      </c>
      <c r="B186" s="217" t="s">
        <v>582</v>
      </c>
      <c r="C186" s="217" t="s">
        <v>145</v>
      </c>
      <c r="D186" s="217" t="s">
        <v>119</v>
      </c>
      <c r="E186" s="217"/>
      <c r="F186" s="217"/>
      <c r="G186" s="344">
        <f>G187+G191</f>
        <v>33421.540710000001</v>
      </c>
      <c r="H186" s="344">
        <f>H187+H191</f>
        <v>31949.75333</v>
      </c>
      <c r="I186" s="102">
        <f t="shared" si="16"/>
        <v>95.59629104842665</v>
      </c>
    </row>
    <row r="187" spans="1:15" ht="47.25" x14ac:dyDescent="0.25">
      <c r="A187" s="215" t="s">
        <v>191</v>
      </c>
      <c r="B187" s="218" t="s">
        <v>594</v>
      </c>
      <c r="C187" s="217" t="s">
        <v>145</v>
      </c>
      <c r="D187" s="217" t="s">
        <v>119</v>
      </c>
      <c r="E187" s="217"/>
      <c r="F187" s="217"/>
      <c r="G187" s="344">
        <f>G188</f>
        <v>33024.180209999999</v>
      </c>
      <c r="H187" s="344">
        <f>H188</f>
        <v>31552.392830000001</v>
      </c>
      <c r="I187" s="102">
        <f t="shared" si="16"/>
        <v>95.543303813627062</v>
      </c>
    </row>
    <row r="188" spans="1:15" ht="47.25" x14ac:dyDescent="0.25">
      <c r="A188" s="215" t="s">
        <v>149</v>
      </c>
      <c r="B188" s="218" t="s">
        <v>594</v>
      </c>
      <c r="C188" s="217" t="s">
        <v>145</v>
      </c>
      <c r="D188" s="217" t="s">
        <v>119</v>
      </c>
      <c r="E188" s="217" t="s">
        <v>150</v>
      </c>
      <c r="F188" s="217"/>
      <c r="G188" s="344">
        <f>G189</f>
        <v>33024.180209999999</v>
      </c>
      <c r="H188" s="344">
        <f>H189</f>
        <v>31552.392830000001</v>
      </c>
      <c r="I188" s="102">
        <f t="shared" si="16"/>
        <v>95.543303813627062</v>
      </c>
    </row>
    <row r="189" spans="1:15" s="75" customFormat="1" ht="15.75" x14ac:dyDescent="0.25">
      <c r="A189" s="215" t="s">
        <v>151</v>
      </c>
      <c r="B189" s="218" t="s">
        <v>594</v>
      </c>
      <c r="C189" s="217" t="s">
        <v>145</v>
      </c>
      <c r="D189" s="217" t="s">
        <v>119</v>
      </c>
      <c r="E189" s="217" t="s">
        <v>152</v>
      </c>
      <c r="F189" s="217"/>
      <c r="G189" s="344">
        <f>'Пр.4 Ведом23'!G776</f>
        <v>33024.180209999999</v>
      </c>
      <c r="H189" s="344">
        <f>'Пр.4 Ведом23'!H776</f>
        <v>31552.392830000001</v>
      </c>
      <c r="I189" s="102">
        <f t="shared" si="16"/>
        <v>95.543303813627062</v>
      </c>
      <c r="J189" s="125"/>
      <c r="K189" s="125"/>
      <c r="L189" s="125"/>
      <c r="M189" s="125"/>
      <c r="N189" s="125"/>
    </row>
    <row r="190" spans="1:15" s="75" customFormat="1" ht="31.5" x14ac:dyDescent="0.25">
      <c r="A190" s="19" t="s">
        <v>878</v>
      </c>
      <c r="B190" s="218" t="s">
        <v>594</v>
      </c>
      <c r="C190" s="217" t="s">
        <v>145</v>
      </c>
      <c r="D190" s="217" t="s">
        <v>119</v>
      </c>
      <c r="E190" s="217" t="s">
        <v>152</v>
      </c>
      <c r="F190" s="217" t="s">
        <v>238</v>
      </c>
      <c r="G190" s="344">
        <f>G189</f>
        <v>33024.180209999999</v>
      </c>
      <c r="H190" s="344">
        <f>H189</f>
        <v>31552.392830000001</v>
      </c>
      <c r="I190" s="102">
        <f t="shared" si="16"/>
        <v>95.543303813627062</v>
      </c>
      <c r="J190" s="125"/>
      <c r="K190" s="125"/>
      <c r="L190" s="125"/>
      <c r="M190" s="125"/>
      <c r="N190" s="125"/>
    </row>
    <row r="191" spans="1:15" s="332" customFormat="1" ht="47.25" x14ac:dyDescent="0.25">
      <c r="A191" s="19" t="s">
        <v>1107</v>
      </c>
      <c r="B191" s="334" t="s">
        <v>1116</v>
      </c>
      <c r="C191" s="217" t="s">
        <v>145</v>
      </c>
      <c r="D191" s="217" t="s">
        <v>119</v>
      </c>
      <c r="E191" s="217"/>
      <c r="F191" s="217"/>
      <c r="G191" s="344">
        <f>G192</f>
        <v>397.3605</v>
      </c>
      <c r="H191" s="344">
        <f>H192</f>
        <v>397.3605</v>
      </c>
      <c r="I191" s="102">
        <f t="shared" si="16"/>
        <v>100</v>
      </c>
      <c r="J191" s="125"/>
      <c r="K191" s="125"/>
      <c r="L191" s="125"/>
      <c r="M191" s="125"/>
      <c r="N191" s="125"/>
    </row>
    <row r="192" spans="1:15" s="332" customFormat="1" ht="47.25" x14ac:dyDescent="0.25">
      <c r="A192" s="19" t="s">
        <v>191</v>
      </c>
      <c r="B192" s="334" t="s">
        <v>1116</v>
      </c>
      <c r="C192" s="217" t="s">
        <v>145</v>
      </c>
      <c r="D192" s="217" t="s">
        <v>119</v>
      </c>
      <c r="E192" s="217" t="s">
        <v>150</v>
      </c>
      <c r="F192" s="217"/>
      <c r="G192" s="344">
        <f>G193</f>
        <v>397.3605</v>
      </c>
      <c r="H192" s="344">
        <f>H193</f>
        <v>397.3605</v>
      </c>
      <c r="I192" s="102">
        <f t="shared" si="16"/>
        <v>100</v>
      </c>
      <c r="J192" s="125"/>
      <c r="K192" s="125"/>
      <c r="L192" s="125"/>
      <c r="M192" s="125"/>
      <c r="N192" s="125"/>
    </row>
    <row r="193" spans="1:14" s="332" customFormat="1" ht="15.75" x14ac:dyDescent="0.25">
      <c r="A193" s="19" t="s">
        <v>151</v>
      </c>
      <c r="B193" s="334" t="s">
        <v>1116</v>
      </c>
      <c r="C193" s="217" t="s">
        <v>145</v>
      </c>
      <c r="D193" s="217" t="s">
        <v>119</v>
      </c>
      <c r="E193" s="217" t="s">
        <v>152</v>
      </c>
      <c r="F193" s="217"/>
      <c r="G193" s="344">
        <f>'Пр.4 Ведом23'!G779</f>
        <v>397.3605</v>
      </c>
      <c r="H193" s="344">
        <f>'Пр.4 Ведом23'!H779</f>
        <v>397.3605</v>
      </c>
      <c r="I193" s="102">
        <f t="shared" si="16"/>
        <v>100</v>
      </c>
      <c r="J193" s="125"/>
      <c r="K193" s="125"/>
      <c r="L193" s="125"/>
      <c r="M193" s="125"/>
      <c r="N193" s="125"/>
    </row>
    <row r="194" spans="1:14" s="332" customFormat="1" ht="31.5" x14ac:dyDescent="0.25">
      <c r="A194" s="19" t="s">
        <v>878</v>
      </c>
      <c r="B194" s="334" t="s">
        <v>1116</v>
      </c>
      <c r="C194" s="217" t="s">
        <v>145</v>
      </c>
      <c r="D194" s="217" t="s">
        <v>119</v>
      </c>
      <c r="E194" s="217" t="s">
        <v>152</v>
      </c>
      <c r="F194" s="217" t="s">
        <v>238</v>
      </c>
      <c r="G194" s="344">
        <f>G193</f>
        <v>397.3605</v>
      </c>
      <c r="H194" s="344">
        <f>H193</f>
        <v>397.3605</v>
      </c>
      <c r="I194" s="102">
        <f t="shared" si="16"/>
        <v>100</v>
      </c>
      <c r="J194" s="125"/>
      <c r="K194" s="125"/>
      <c r="L194" s="125"/>
      <c r="M194" s="125"/>
      <c r="N194" s="125"/>
    </row>
    <row r="195" spans="1:14" s="75" customFormat="1" ht="15.75" x14ac:dyDescent="0.25">
      <c r="A195" s="19" t="s">
        <v>146</v>
      </c>
      <c r="B195" s="217" t="s">
        <v>582</v>
      </c>
      <c r="C195" s="217" t="s">
        <v>145</v>
      </c>
      <c r="D195" s="217" t="s">
        <v>120</v>
      </c>
      <c r="E195" s="217"/>
      <c r="F195" s="217"/>
      <c r="G195" s="344">
        <f>G196+G200</f>
        <v>36955.231999999989</v>
      </c>
      <c r="H195" s="344">
        <f>H196+H200</f>
        <v>36878.463380000001</v>
      </c>
      <c r="I195" s="102">
        <f t="shared" si="16"/>
        <v>99.792265896206558</v>
      </c>
      <c r="J195" s="125"/>
      <c r="K195" s="125"/>
      <c r="L195" s="125"/>
      <c r="M195" s="125"/>
      <c r="N195" s="125"/>
    </row>
    <row r="196" spans="1:14" s="75" customFormat="1" ht="47.25" x14ac:dyDescent="0.25">
      <c r="A196" s="19" t="s">
        <v>148</v>
      </c>
      <c r="B196" s="218" t="s">
        <v>598</v>
      </c>
      <c r="C196" s="217" t="s">
        <v>145</v>
      </c>
      <c r="D196" s="217" t="s">
        <v>120</v>
      </c>
      <c r="E196" s="6"/>
      <c r="F196" s="6"/>
      <c r="G196" s="344">
        <f>G197</f>
        <v>36739.671999999991</v>
      </c>
      <c r="H196" s="344">
        <f>H197</f>
        <v>36662.903380000003</v>
      </c>
      <c r="I196" s="102">
        <f t="shared" si="16"/>
        <v>99.791047073038683</v>
      </c>
      <c r="J196" s="125"/>
      <c r="K196" s="125"/>
      <c r="L196" s="125"/>
      <c r="M196" s="125"/>
      <c r="N196" s="125"/>
    </row>
    <row r="197" spans="1:14" s="75" customFormat="1" ht="47.25" x14ac:dyDescent="0.25">
      <c r="A197" s="19" t="s">
        <v>149</v>
      </c>
      <c r="B197" s="218" t="s">
        <v>598</v>
      </c>
      <c r="C197" s="217" t="s">
        <v>145</v>
      </c>
      <c r="D197" s="217" t="s">
        <v>120</v>
      </c>
      <c r="E197" s="217" t="s">
        <v>150</v>
      </c>
      <c r="F197" s="217"/>
      <c r="G197" s="344">
        <f>G198</f>
        <v>36739.671999999991</v>
      </c>
      <c r="H197" s="344">
        <f>H198</f>
        <v>36662.903380000003</v>
      </c>
      <c r="I197" s="102">
        <f t="shared" si="16"/>
        <v>99.791047073038683</v>
      </c>
      <c r="J197" s="125"/>
      <c r="K197" s="125"/>
      <c r="L197" s="125"/>
      <c r="M197" s="125"/>
      <c r="N197" s="125"/>
    </row>
    <row r="198" spans="1:14" s="75" customFormat="1" ht="15.75" x14ac:dyDescent="0.25">
      <c r="A198" s="19" t="s">
        <v>151</v>
      </c>
      <c r="B198" s="218" t="s">
        <v>598</v>
      </c>
      <c r="C198" s="217" t="s">
        <v>145</v>
      </c>
      <c r="D198" s="217" t="s">
        <v>120</v>
      </c>
      <c r="E198" s="217" t="s">
        <v>152</v>
      </c>
      <c r="F198" s="217"/>
      <c r="G198" s="344">
        <f>'Пр.4 Ведом23'!G849</f>
        <v>36739.671999999991</v>
      </c>
      <c r="H198" s="344">
        <f>'Пр.4 Ведом23'!H849</f>
        <v>36662.903380000003</v>
      </c>
      <c r="I198" s="102">
        <f t="shared" si="16"/>
        <v>99.791047073038683</v>
      </c>
      <c r="J198" s="125"/>
      <c r="K198" s="125"/>
      <c r="L198" s="125"/>
      <c r="M198" s="125"/>
      <c r="N198" s="125"/>
    </row>
    <row r="199" spans="1:14" s="75" customFormat="1" ht="31.5" x14ac:dyDescent="0.25">
      <c r="A199" s="19" t="s">
        <v>878</v>
      </c>
      <c r="B199" s="218" t="s">
        <v>598</v>
      </c>
      <c r="C199" s="217" t="s">
        <v>145</v>
      </c>
      <c r="D199" s="217" t="s">
        <v>120</v>
      </c>
      <c r="E199" s="217" t="s">
        <v>152</v>
      </c>
      <c r="F199" s="217" t="s">
        <v>238</v>
      </c>
      <c r="G199" s="344">
        <f>G198</f>
        <v>36739.671999999991</v>
      </c>
      <c r="H199" s="344">
        <f>H198</f>
        <v>36662.903380000003</v>
      </c>
      <c r="I199" s="102">
        <f t="shared" si="16"/>
        <v>99.791047073038683</v>
      </c>
      <c r="J199" s="125"/>
      <c r="K199" s="125"/>
      <c r="L199" s="125"/>
      <c r="M199" s="125"/>
      <c r="N199" s="125"/>
    </row>
    <row r="200" spans="1:14" s="332" customFormat="1" ht="31.5" x14ac:dyDescent="0.25">
      <c r="A200" s="19" t="s">
        <v>1118</v>
      </c>
      <c r="B200" s="334" t="s">
        <v>1121</v>
      </c>
      <c r="C200" s="217"/>
      <c r="D200" s="217"/>
      <c r="E200" s="217"/>
      <c r="F200" s="217"/>
      <c r="G200" s="9">
        <f t="shared" ref="G200:H203" si="21">G201</f>
        <v>215.56</v>
      </c>
      <c r="H200" s="9">
        <f t="shared" si="21"/>
        <v>215.56</v>
      </c>
      <c r="I200" s="102">
        <f t="shared" si="16"/>
        <v>100</v>
      </c>
      <c r="J200" s="125"/>
      <c r="K200" s="125"/>
      <c r="L200" s="125"/>
      <c r="M200" s="125"/>
      <c r="N200" s="125"/>
    </row>
    <row r="201" spans="1:14" s="332" customFormat="1" ht="15.75" x14ac:dyDescent="0.25">
      <c r="A201" s="19" t="s">
        <v>144</v>
      </c>
      <c r="B201" s="334" t="s">
        <v>1121</v>
      </c>
      <c r="C201" s="217" t="s">
        <v>145</v>
      </c>
      <c r="D201" s="217"/>
      <c r="E201" s="217"/>
      <c r="F201" s="217"/>
      <c r="G201" s="9">
        <f t="shared" si="21"/>
        <v>215.56</v>
      </c>
      <c r="H201" s="9">
        <f t="shared" si="21"/>
        <v>215.56</v>
      </c>
      <c r="I201" s="102">
        <f t="shared" si="16"/>
        <v>100</v>
      </c>
      <c r="J201" s="125"/>
      <c r="K201" s="125"/>
      <c r="L201" s="125"/>
      <c r="M201" s="125"/>
      <c r="N201" s="125"/>
    </row>
    <row r="202" spans="1:14" s="332" customFormat="1" ht="15.75" x14ac:dyDescent="0.25">
      <c r="A202" s="19" t="s">
        <v>146</v>
      </c>
      <c r="B202" s="334" t="s">
        <v>1121</v>
      </c>
      <c r="C202" s="217" t="s">
        <v>145</v>
      </c>
      <c r="D202" s="217" t="s">
        <v>120</v>
      </c>
      <c r="E202" s="217"/>
      <c r="F202" s="217"/>
      <c r="G202" s="9">
        <f t="shared" si="21"/>
        <v>215.56</v>
      </c>
      <c r="H202" s="9">
        <f t="shared" si="21"/>
        <v>215.56</v>
      </c>
      <c r="I202" s="102">
        <f t="shared" si="16"/>
        <v>100</v>
      </c>
      <c r="J202" s="125"/>
      <c r="K202" s="125"/>
      <c r="L202" s="125"/>
      <c r="M202" s="125"/>
      <c r="N202" s="125"/>
    </row>
    <row r="203" spans="1:14" s="332" customFormat="1" ht="38.450000000000003" customHeight="1" x14ac:dyDescent="0.25">
      <c r="A203" s="19" t="s">
        <v>149</v>
      </c>
      <c r="B203" s="334" t="s">
        <v>1121</v>
      </c>
      <c r="C203" s="217" t="s">
        <v>145</v>
      </c>
      <c r="D203" s="217" t="s">
        <v>120</v>
      </c>
      <c r="E203" s="217" t="s">
        <v>150</v>
      </c>
      <c r="F203" s="217"/>
      <c r="G203" s="9">
        <f t="shared" si="21"/>
        <v>215.56</v>
      </c>
      <c r="H203" s="9">
        <f t="shared" si="21"/>
        <v>215.56</v>
      </c>
      <c r="I203" s="102">
        <f t="shared" si="16"/>
        <v>100</v>
      </c>
      <c r="J203" s="125"/>
      <c r="K203" s="125"/>
      <c r="L203" s="125"/>
      <c r="M203" s="125"/>
      <c r="N203" s="125"/>
    </row>
    <row r="204" spans="1:14" s="332" customFormat="1" ht="15.75" x14ac:dyDescent="0.25">
      <c r="A204" s="19" t="s">
        <v>151</v>
      </c>
      <c r="B204" s="334" t="s">
        <v>1121</v>
      </c>
      <c r="C204" s="217" t="s">
        <v>145</v>
      </c>
      <c r="D204" s="217" t="s">
        <v>120</v>
      </c>
      <c r="E204" s="217" t="s">
        <v>152</v>
      </c>
      <c r="F204" s="217"/>
      <c r="G204" s="9">
        <f>'Пр.4 Ведом23'!G852</f>
        <v>215.56</v>
      </c>
      <c r="H204" s="9">
        <f>'Пр.4 Ведом23'!H852</f>
        <v>215.56</v>
      </c>
      <c r="I204" s="102">
        <f t="shared" si="16"/>
        <v>100</v>
      </c>
      <c r="J204" s="125"/>
      <c r="K204" s="125"/>
      <c r="L204" s="125"/>
      <c r="M204" s="125"/>
      <c r="N204" s="125"/>
    </row>
    <row r="205" spans="1:14" s="332" customFormat="1" ht="31.5" x14ac:dyDescent="0.25">
      <c r="A205" s="19" t="s">
        <v>878</v>
      </c>
      <c r="B205" s="334" t="s">
        <v>1121</v>
      </c>
      <c r="C205" s="217" t="s">
        <v>145</v>
      </c>
      <c r="D205" s="217" t="s">
        <v>120</v>
      </c>
      <c r="E205" s="217" t="s">
        <v>152</v>
      </c>
      <c r="F205" s="217"/>
      <c r="G205" s="9">
        <f>G204</f>
        <v>215.56</v>
      </c>
      <c r="H205" s="9">
        <f>H204</f>
        <v>215.56</v>
      </c>
      <c r="I205" s="102">
        <f t="shared" si="16"/>
        <v>100</v>
      </c>
      <c r="J205" s="125"/>
      <c r="K205" s="125"/>
      <c r="L205" s="125"/>
      <c r="M205" s="125"/>
      <c r="N205" s="125"/>
    </row>
    <row r="206" spans="1:14" s="75" customFormat="1" ht="47.25" x14ac:dyDescent="0.25">
      <c r="A206" s="116" t="s">
        <v>349</v>
      </c>
      <c r="B206" s="117" t="s">
        <v>584</v>
      </c>
      <c r="C206" s="6"/>
      <c r="D206" s="6"/>
      <c r="E206" s="6"/>
      <c r="F206" s="6"/>
      <c r="G206" s="302">
        <f>G207</f>
        <v>246452.41199999998</v>
      </c>
      <c r="H206" s="567">
        <f>H207</f>
        <v>245399.35547999997</v>
      </c>
      <c r="I206" s="221">
        <f t="shared" si="16"/>
        <v>99.572714054021915</v>
      </c>
      <c r="J206" s="125"/>
      <c r="K206" s="125"/>
      <c r="L206" s="125"/>
      <c r="M206" s="125"/>
      <c r="N206" s="125"/>
    </row>
    <row r="207" spans="1:14" s="75" customFormat="1" ht="15.75" x14ac:dyDescent="0.25">
      <c r="A207" s="19" t="s">
        <v>144</v>
      </c>
      <c r="B207" s="217" t="s">
        <v>584</v>
      </c>
      <c r="C207" s="217" t="s">
        <v>145</v>
      </c>
      <c r="D207" s="217"/>
      <c r="E207" s="217"/>
      <c r="F207" s="217"/>
      <c r="G207" s="344">
        <f>G208+G213+G222</f>
        <v>246452.41199999998</v>
      </c>
      <c r="H207" s="344">
        <f>H208+H213+H222</f>
        <v>245399.35547999997</v>
      </c>
      <c r="I207" s="102">
        <f t="shared" si="16"/>
        <v>99.572714054021915</v>
      </c>
      <c r="J207" s="125"/>
      <c r="K207" s="125"/>
      <c r="L207" s="125"/>
      <c r="M207" s="125"/>
      <c r="N207" s="125"/>
    </row>
    <row r="208" spans="1:14" s="75" customFormat="1" ht="15.75" x14ac:dyDescent="0.25">
      <c r="A208" s="26" t="s">
        <v>188</v>
      </c>
      <c r="B208" s="217" t="s">
        <v>584</v>
      </c>
      <c r="C208" s="217" t="s">
        <v>145</v>
      </c>
      <c r="D208" s="217" t="s">
        <v>81</v>
      </c>
      <c r="E208" s="217"/>
      <c r="F208" s="217"/>
      <c r="G208" s="344">
        <f t="shared" ref="G208:H210" si="22">G209</f>
        <v>75261.147999999986</v>
      </c>
      <c r="H208" s="344">
        <f t="shared" si="22"/>
        <v>74608.226809999993</v>
      </c>
      <c r="I208" s="102">
        <f t="shared" si="16"/>
        <v>99.132459167378101</v>
      </c>
      <c r="J208" s="125"/>
      <c r="K208" s="125"/>
      <c r="L208" s="125"/>
      <c r="M208" s="125"/>
      <c r="N208" s="125"/>
    </row>
    <row r="209" spans="1:14" s="75" customFormat="1" ht="63" x14ac:dyDescent="0.25">
      <c r="A209" s="215" t="s">
        <v>852</v>
      </c>
      <c r="B209" s="218" t="s">
        <v>763</v>
      </c>
      <c r="C209" s="217" t="s">
        <v>145</v>
      </c>
      <c r="D209" s="217" t="s">
        <v>81</v>
      </c>
      <c r="E209" s="217"/>
      <c r="F209" s="217"/>
      <c r="G209" s="344">
        <f t="shared" si="22"/>
        <v>75261.147999999986</v>
      </c>
      <c r="H209" s="344">
        <f t="shared" si="22"/>
        <v>74608.226809999993</v>
      </c>
      <c r="I209" s="102">
        <f t="shared" ref="I209:I272" si="23">H209/G209*100</f>
        <v>99.132459167378101</v>
      </c>
      <c r="J209" s="125"/>
      <c r="K209" s="125"/>
      <c r="L209" s="125"/>
      <c r="M209" s="125"/>
      <c r="N209" s="125"/>
    </row>
    <row r="210" spans="1:14" s="75" customFormat="1" ht="47.25" x14ac:dyDescent="0.25">
      <c r="A210" s="215" t="s">
        <v>149</v>
      </c>
      <c r="B210" s="218" t="s">
        <v>763</v>
      </c>
      <c r="C210" s="217" t="s">
        <v>145</v>
      </c>
      <c r="D210" s="217" t="s">
        <v>81</v>
      </c>
      <c r="E210" s="217" t="s">
        <v>150</v>
      </c>
      <c r="F210" s="217"/>
      <c r="G210" s="344">
        <f t="shared" si="22"/>
        <v>75261.147999999986</v>
      </c>
      <c r="H210" s="344">
        <f t="shared" si="22"/>
        <v>74608.226809999993</v>
      </c>
      <c r="I210" s="102">
        <f t="shared" si="23"/>
        <v>99.132459167378101</v>
      </c>
      <c r="J210" s="125"/>
      <c r="K210" s="125"/>
      <c r="L210" s="125"/>
      <c r="M210" s="125"/>
      <c r="N210" s="125"/>
    </row>
    <row r="211" spans="1:14" s="75" customFormat="1" ht="15.75" x14ac:dyDescent="0.25">
      <c r="A211" s="215" t="s">
        <v>151</v>
      </c>
      <c r="B211" s="218" t="s">
        <v>763</v>
      </c>
      <c r="C211" s="217" t="s">
        <v>145</v>
      </c>
      <c r="D211" s="217" t="s">
        <v>81</v>
      </c>
      <c r="E211" s="217" t="s">
        <v>152</v>
      </c>
      <c r="F211" s="217"/>
      <c r="G211" s="344">
        <f>'Пр.4 Ведом23'!G732</f>
        <v>75261.147999999986</v>
      </c>
      <c r="H211" s="344">
        <f>'Пр.4 Ведом23'!H732</f>
        <v>74608.226809999993</v>
      </c>
      <c r="I211" s="102">
        <f t="shared" si="23"/>
        <v>99.132459167378101</v>
      </c>
      <c r="J211" s="125"/>
      <c r="K211" s="125"/>
      <c r="L211" s="125"/>
      <c r="M211" s="125"/>
      <c r="N211" s="125"/>
    </row>
    <row r="212" spans="1:14" s="75" customFormat="1" ht="31.5" x14ac:dyDescent="0.25">
      <c r="A212" s="19" t="s">
        <v>878</v>
      </c>
      <c r="B212" s="218" t="s">
        <v>763</v>
      </c>
      <c r="C212" s="217" t="s">
        <v>145</v>
      </c>
      <c r="D212" s="217" t="s">
        <v>81</v>
      </c>
      <c r="E212" s="217" t="s">
        <v>152</v>
      </c>
      <c r="F212" s="217" t="s">
        <v>238</v>
      </c>
      <c r="G212" s="344">
        <f>G211</f>
        <v>75261.147999999986</v>
      </c>
      <c r="H212" s="344">
        <f>H211</f>
        <v>74608.226809999993</v>
      </c>
      <c r="I212" s="102">
        <f t="shared" si="23"/>
        <v>99.132459167378101</v>
      </c>
      <c r="J212" s="125"/>
      <c r="K212" s="125"/>
      <c r="L212" s="125"/>
      <c r="M212" s="125"/>
      <c r="N212" s="125"/>
    </row>
    <row r="213" spans="1:14" s="75" customFormat="1" ht="15.75" x14ac:dyDescent="0.25">
      <c r="A213" s="19" t="s">
        <v>190</v>
      </c>
      <c r="B213" s="217" t="s">
        <v>584</v>
      </c>
      <c r="C213" s="217" t="s">
        <v>145</v>
      </c>
      <c r="D213" s="217" t="s">
        <v>119</v>
      </c>
      <c r="E213" s="217"/>
      <c r="F213" s="217"/>
      <c r="G213" s="344">
        <f>G214+G218</f>
        <v>169371.364</v>
      </c>
      <c r="H213" s="344">
        <f>H214+H218</f>
        <v>169005.22295999998</v>
      </c>
      <c r="I213" s="102">
        <f t="shared" si="23"/>
        <v>99.78382352757103</v>
      </c>
      <c r="J213" s="125"/>
      <c r="K213" s="125"/>
      <c r="L213" s="125"/>
      <c r="M213" s="125"/>
      <c r="N213" s="125"/>
    </row>
    <row r="214" spans="1:14" s="75" customFormat="1" ht="63" x14ac:dyDescent="0.25">
      <c r="A214" s="215" t="s">
        <v>647</v>
      </c>
      <c r="B214" s="218" t="s">
        <v>648</v>
      </c>
      <c r="C214" s="217" t="s">
        <v>145</v>
      </c>
      <c r="D214" s="217" t="s">
        <v>119</v>
      </c>
      <c r="E214" s="217"/>
      <c r="F214" s="217"/>
      <c r="G214" s="344">
        <f>G215</f>
        <v>6521.7000000000007</v>
      </c>
      <c r="H214" s="344">
        <f>H215</f>
        <v>6455.8775900000001</v>
      </c>
      <c r="I214" s="102">
        <f t="shared" si="23"/>
        <v>98.990716990968593</v>
      </c>
      <c r="J214" s="125"/>
      <c r="K214" s="125"/>
      <c r="L214" s="125"/>
      <c r="M214" s="125"/>
      <c r="N214" s="125"/>
    </row>
    <row r="215" spans="1:14" s="75" customFormat="1" ht="47.25" x14ac:dyDescent="0.25">
      <c r="A215" s="215" t="s">
        <v>149</v>
      </c>
      <c r="B215" s="218" t="s">
        <v>648</v>
      </c>
      <c r="C215" s="217" t="s">
        <v>145</v>
      </c>
      <c r="D215" s="217" t="s">
        <v>119</v>
      </c>
      <c r="E215" s="217" t="s">
        <v>150</v>
      </c>
      <c r="F215" s="217"/>
      <c r="G215" s="344">
        <f>G216</f>
        <v>6521.7000000000007</v>
      </c>
      <c r="H215" s="344">
        <f>H216</f>
        <v>6455.8775900000001</v>
      </c>
      <c r="I215" s="102">
        <f t="shared" si="23"/>
        <v>98.990716990968593</v>
      </c>
      <c r="J215" s="125"/>
      <c r="K215" s="125"/>
      <c r="L215" s="125"/>
      <c r="M215" s="125"/>
      <c r="N215" s="125"/>
    </row>
    <row r="216" spans="1:14" s="75" customFormat="1" ht="15.75" x14ac:dyDescent="0.25">
      <c r="A216" s="215" t="s">
        <v>151</v>
      </c>
      <c r="B216" s="218" t="s">
        <v>648</v>
      </c>
      <c r="C216" s="217" t="s">
        <v>145</v>
      </c>
      <c r="D216" s="217" t="s">
        <v>119</v>
      </c>
      <c r="E216" s="217" t="s">
        <v>152</v>
      </c>
      <c r="F216" s="217"/>
      <c r="G216" s="344">
        <f>'Пр.4 Ведом23'!G783</f>
        <v>6521.7000000000007</v>
      </c>
      <c r="H216" s="344">
        <f>'Пр.4 Ведом23'!H783</f>
        <v>6455.8775900000001</v>
      </c>
      <c r="I216" s="102">
        <f t="shared" si="23"/>
        <v>98.990716990968593</v>
      </c>
      <c r="J216" s="125"/>
      <c r="K216" s="125"/>
      <c r="L216" s="125"/>
      <c r="M216" s="125"/>
      <c r="N216" s="125"/>
    </row>
    <row r="217" spans="1:14" s="75" customFormat="1" ht="31.5" x14ac:dyDescent="0.25">
      <c r="A217" s="19" t="s">
        <v>878</v>
      </c>
      <c r="B217" s="218" t="s">
        <v>648</v>
      </c>
      <c r="C217" s="217" t="s">
        <v>145</v>
      </c>
      <c r="D217" s="217" t="s">
        <v>119</v>
      </c>
      <c r="E217" s="217" t="s">
        <v>152</v>
      </c>
      <c r="F217" s="217" t="s">
        <v>238</v>
      </c>
      <c r="G217" s="344">
        <f>G216</f>
        <v>6521.7000000000007</v>
      </c>
      <c r="H217" s="344">
        <f>H216</f>
        <v>6455.8775900000001</v>
      </c>
      <c r="I217" s="102">
        <f t="shared" si="23"/>
        <v>98.990716990968593</v>
      </c>
      <c r="J217" s="125"/>
      <c r="K217" s="125"/>
      <c r="L217" s="125"/>
      <c r="M217" s="125"/>
      <c r="N217" s="125"/>
    </row>
    <row r="218" spans="1:14" s="75" customFormat="1" ht="63" x14ac:dyDescent="0.25">
      <c r="A218" s="215" t="s">
        <v>852</v>
      </c>
      <c r="B218" s="218" t="s">
        <v>763</v>
      </c>
      <c r="C218" s="217" t="s">
        <v>145</v>
      </c>
      <c r="D218" s="217" t="s">
        <v>119</v>
      </c>
      <c r="E218" s="217"/>
      <c r="F218" s="217"/>
      <c r="G218" s="344">
        <f>G219</f>
        <v>162849.66399999999</v>
      </c>
      <c r="H218" s="344">
        <f>H219</f>
        <v>162549.34537</v>
      </c>
      <c r="I218" s="102">
        <f t="shared" si="23"/>
        <v>99.81558535484605</v>
      </c>
      <c r="J218" s="125"/>
      <c r="K218" s="125"/>
      <c r="L218" s="125"/>
      <c r="M218" s="125"/>
      <c r="N218" s="125"/>
    </row>
    <row r="219" spans="1:14" s="75" customFormat="1" ht="47.25" x14ac:dyDescent="0.25">
      <c r="A219" s="215" t="s">
        <v>149</v>
      </c>
      <c r="B219" s="218" t="s">
        <v>763</v>
      </c>
      <c r="C219" s="217" t="s">
        <v>145</v>
      </c>
      <c r="D219" s="217" t="s">
        <v>119</v>
      </c>
      <c r="E219" s="217" t="s">
        <v>150</v>
      </c>
      <c r="F219" s="217"/>
      <c r="G219" s="344">
        <f>G220</f>
        <v>162849.66399999999</v>
      </c>
      <c r="H219" s="344">
        <f>H220</f>
        <v>162549.34537</v>
      </c>
      <c r="I219" s="102">
        <f t="shared" si="23"/>
        <v>99.81558535484605</v>
      </c>
      <c r="J219" s="125"/>
      <c r="K219" s="125"/>
      <c r="L219" s="125"/>
      <c r="M219" s="125"/>
      <c r="N219" s="125"/>
    </row>
    <row r="220" spans="1:14" s="110" customFormat="1" ht="15.75" x14ac:dyDescent="0.25">
      <c r="A220" s="215" t="s">
        <v>151</v>
      </c>
      <c r="B220" s="218" t="s">
        <v>763</v>
      </c>
      <c r="C220" s="217" t="s">
        <v>145</v>
      </c>
      <c r="D220" s="217" t="s">
        <v>119</v>
      </c>
      <c r="E220" s="217" t="s">
        <v>152</v>
      </c>
      <c r="F220" s="217"/>
      <c r="G220" s="344">
        <f>'Пр.4 Ведом23'!G786</f>
        <v>162849.66399999999</v>
      </c>
      <c r="H220" s="344">
        <f>'Пр.4 Ведом23'!H786</f>
        <v>162549.34537</v>
      </c>
      <c r="I220" s="102">
        <f t="shared" si="23"/>
        <v>99.81558535484605</v>
      </c>
      <c r="J220" s="125"/>
      <c r="K220" s="125"/>
      <c r="L220" s="125"/>
      <c r="M220" s="125"/>
      <c r="N220" s="125"/>
    </row>
    <row r="221" spans="1:14" s="110" customFormat="1" ht="31.5" x14ac:dyDescent="0.25">
      <c r="A221" s="19" t="s">
        <v>878</v>
      </c>
      <c r="B221" s="218" t="s">
        <v>763</v>
      </c>
      <c r="C221" s="217" t="s">
        <v>145</v>
      </c>
      <c r="D221" s="217" t="s">
        <v>119</v>
      </c>
      <c r="E221" s="217" t="s">
        <v>152</v>
      </c>
      <c r="F221" s="217" t="s">
        <v>238</v>
      </c>
      <c r="G221" s="344">
        <f>G220</f>
        <v>162849.66399999999</v>
      </c>
      <c r="H221" s="344">
        <f>H220</f>
        <v>162549.34537</v>
      </c>
      <c r="I221" s="102">
        <f t="shared" si="23"/>
        <v>99.81558535484605</v>
      </c>
      <c r="J221" s="125"/>
      <c r="K221" s="125"/>
      <c r="L221" s="125"/>
      <c r="M221" s="125"/>
      <c r="N221" s="125"/>
    </row>
    <row r="222" spans="1:14" s="110" customFormat="1" ht="15.75" x14ac:dyDescent="0.25">
      <c r="A222" s="19" t="s">
        <v>146</v>
      </c>
      <c r="B222" s="217" t="s">
        <v>584</v>
      </c>
      <c r="C222" s="217" t="s">
        <v>145</v>
      </c>
      <c r="D222" s="217" t="s">
        <v>120</v>
      </c>
      <c r="E222" s="217"/>
      <c r="F222" s="217"/>
      <c r="G222" s="344">
        <f t="shared" ref="G222:H224" si="24">G223</f>
        <v>1819.9</v>
      </c>
      <c r="H222" s="344">
        <f t="shared" si="24"/>
        <v>1785.90571</v>
      </c>
      <c r="I222" s="102">
        <f t="shared" si="23"/>
        <v>98.132079235122802</v>
      </c>
      <c r="J222" s="125"/>
      <c r="K222" s="125"/>
      <c r="L222" s="125"/>
      <c r="M222" s="125"/>
      <c r="N222" s="125"/>
    </row>
    <row r="223" spans="1:14" s="131" customFormat="1" ht="63" x14ac:dyDescent="0.25">
      <c r="A223" s="215" t="s">
        <v>852</v>
      </c>
      <c r="B223" s="218" t="s">
        <v>763</v>
      </c>
      <c r="C223" s="217" t="s">
        <v>145</v>
      </c>
      <c r="D223" s="217" t="s">
        <v>120</v>
      </c>
      <c r="E223" s="217"/>
      <c r="F223" s="217"/>
      <c r="G223" s="344">
        <f t="shared" si="24"/>
        <v>1819.9</v>
      </c>
      <c r="H223" s="344">
        <f t="shared" si="24"/>
        <v>1785.90571</v>
      </c>
      <c r="I223" s="102">
        <f t="shared" si="23"/>
        <v>98.132079235122802</v>
      </c>
      <c r="J223" s="125"/>
      <c r="K223" s="125"/>
      <c r="L223" s="125"/>
      <c r="M223" s="125"/>
      <c r="N223" s="125"/>
    </row>
    <row r="224" spans="1:14" ht="54" customHeight="1" x14ac:dyDescent="0.25">
      <c r="A224" s="215" t="s">
        <v>149</v>
      </c>
      <c r="B224" s="218" t="s">
        <v>763</v>
      </c>
      <c r="C224" s="217" t="s">
        <v>145</v>
      </c>
      <c r="D224" s="217" t="s">
        <v>120</v>
      </c>
      <c r="E224" s="217" t="s">
        <v>150</v>
      </c>
      <c r="F224" s="217"/>
      <c r="G224" s="344">
        <f t="shared" si="24"/>
        <v>1819.9</v>
      </c>
      <c r="H224" s="344">
        <f t="shared" si="24"/>
        <v>1785.90571</v>
      </c>
      <c r="I224" s="102">
        <f t="shared" si="23"/>
        <v>98.132079235122802</v>
      </c>
    </row>
    <row r="225" spans="1:14" s="75" customFormat="1" ht="15.75" x14ac:dyDescent="0.25">
      <c r="A225" s="215" t="s">
        <v>151</v>
      </c>
      <c r="B225" s="218" t="s">
        <v>763</v>
      </c>
      <c r="C225" s="217" t="s">
        <v>145</v>
      </c>
      <c r="D225" s="217" t="s">
        <v>120</v>
      </c>
      <c r="E225" s="217" t="s">
        <v>152</v>
      </c>
      <c r="F225" s="217"/>
      <c r="G225" s="344">
        <f>'Пр.4 Ведом23'!G856</f>
        <v>1819.9</v>
      </c>
      <c r="H225" s="344">
        <f>'Пр.4 Ведом23'!H856</f>
        <v>1785.90571</v>
      </c>
      <c r="I225" s="102">
        <f t="shared" si="23"/>
        <v>98.132079235122802</v>
      </c>
      <c r="J225" s="125"/>
      <c r="K225" s="125"/>
      <c r="L225" s="125"/>
      <c r="M225" s="125"/>
      <c r="N225" s="125"/>
    </row>
    <row r="226" spans="1:14" ht="31.5" x14ac:dyDescent="0.25">
      <c r="A226" s="19" t="s">
        <v>878</v>
      </c>
      <c r="B226" s="218" t="s">
        <v>763</v>
      </c>
      <c r="C226" s="217" t="s">
        <v>145</v>
      </c>
      <c r="D226" s="217" t="s">
        <v>120</v>
      </c>
      <c r="E226" s="217" t="s">
        <v>152</v>
      </c>
      <c r="F226" s="217" t="s">
        <v>238</v>
      </c>
      <c r="G226" s="344">
        <f>G225</f>
        <v>1819.9</v>
      </c>
      <c r="H226" s="344">
        <f>H225</f>
        <v>1785.90571</v>
      </c>
      <c r="I226" s="102">
        <f t="shared" si="23"/>
        <v>98.132079235122802</v>
      </c>
    </row>
    <row r="227" spans="1:14" ht="31.5" x14ac:dyDescent="0.25">
      <c r="A227" s="116" t="s">
        <v>617</v>
      </c>
      <c r="B227" s="117" t="s">
        <v>586</v>
      </c>
      <c r="C227" s="6"/>
      <c r="D227" s="6"/>
      <c r="E227" s="6"/>
      <c r="F227" s="6"/>
      <c r="G227" s="302">
        <f>G228</f>
        <v>7601.9900300000008</v>
      </c>
      <c r="H227" s="567">
        <f>H228</f>
        <v>7117.9621499999994</v>
      </c>
      <c r="I227" s="221">
        <f t="shared" si="23"/>
        <v>93.63287931068227</v>
      </c>
    </row>
    <row r="228" spans="1:14" ht="15.75" x14ac:dyDescent="0.25">
      <c r="A228" s="19" t="s">
        <v>144</v>
      </c>
      <c r="B228" s="218" t="s">
        <v>586</v>
      </c>
      <c r="C228" s="217" t="s">
        <v>145</v>
      </c>
      <c r="D228" s="217"/>
      <c r="E228" s="217"/>
      <c r="F228" s="217"/>
      <c r="G228" s="344">
        <f>G229+G243+G264</f>
        <v>7601.9900300000008</v>
      </c>
      <c r="H228" s="344">
        <f>H229+H243+H264</f>
        <v>7117.9621499999994</v>
      </c>
      <c r="I228" s="102">
        <f t="shared" si="23"/>
        <v>93.63287931068227</v>
      </c>
    </row>
    <row r="229" spans="1:14" s="75" customFormat="1" ht="15.75" x14ac:dyDescent="0.25">
      <c r="A229" s="26" t="s">
        <v>188</v>
      </c>
      <c r="B229" s="218" t="s">
        <v>586</v>
      </c>
      <c r="C229" s="217" t="s">
        <v>145</v>
      </c>
      <c r="D229" s="217" t="s">
        <v>81</v>
      </c>
      <c r="E229" s="217"/>
      <c r="F229" s="217"/>
      <c r="G229" s="344">
        <f>G230+G234+G238</f>
        <v>5366.5420300000005</v>
      </c>
      <c r="H229" s="344">
        <f>H230+H234+H238</f>
        <v>5257.9536799999996</v>
      </c>
      <c r="I229" s="102">
        <f t="shared" si="23"/>
        <v>97.976567603626862</v>
      </c>
      <c r="J229" s="125"/>
      <c r="K229" s="125"/>
      <c r="L229" s="125"/>
      <c r="M229" s="125"/>
      <c r="N229" s="125"/>
    </row>
    <row r="230" spans="1:14" s="75" customFormat="1" ht="31.5" x14ac:dyDescent="0.25">
      <c r="A230" s="215" t="s">
        <v>153</v>
      </c>
      <c r="B230" s="218" t="s">
        <v>631</v>
      </c>
      <c r="C230" s="217" t="s">
        <v>145</v>
      </c>
      <c r="D230" s="217" t="s">
        <v>81</v>
      </c>
      <c r="E230" s="217"/>
      <c r="F230" s="217"/>
      <c r="G230" s="344">
        <f>G231</f>
        <v>1470.683</v>
      </c>
      <c r="H230" s="344">
        <f>H231</f>
        <v>1470.6823400000001</v>
      </c>
      <c r="I230" s="102">
        <f t="shared" si="23"/>
        <v>99.999955122891876</v>
      </c>
      <c r="J230" s="125"/>
      <c r="K230" s="125"/>
      <c r="L230" s="125"/>
      <c r="M230" s="125"/>
      <c r="N230" s="125"/>
    </row>
    <row r="231" spans="1:14" s="75" customFormat="1" ht="47.25" x14ac:dyDescent="0.25">
      <c r="A231" s="19" t="s">
        <v>149</v>
      </c>
      <c r="B231" s="218" t="s">
        <v>631</v>
      </c>
      <c r="C231" s="217" t="s">
        <v>145</v>
      </c>
      <c r="D231" s="217" t="s">
        <v>81</v>
      </c>
      <c r="E231" s="217" t="s">
        <v>150</v>
      </c>
      <c r="F231" s="217"/>
      <c r="G231" s="344">
        <f>'Пр.4 Ведом23'!G736</f>
        <v>1470.683</v>
      </c>
      <c r="H231" s="344">
        <f>'Пр.4 Ведом23'!H736</f>
        <v>1470.6823400000001</v>
      </c>
      <c r="I231" s="102">
        <f t="shared" si="23"/>
        <v>99.999955122891876</v>
      </c>
      <c r="J231" s="125"/>
      <c r="K231" s="125"/>
      <c r="L231" s="125"/>
      <c r="M231" s="125"/>
      <c r="N231" s="125"/>
    </row>
    <row r="232" spans="1:14" ht="15.75" x14ac:dyDescent="0.25">
      <c r="A232" s="19" t="s">
        <v>151</v>
      </c>
      <c r="B232" s="218" t="s">
        <v>631</v>
      </c>
      <c r="C232" s="217" t="s">
        <v>145</v>
      </c>
      <c r="D232" s="217" t="s">
        <v>81</v>
      </c>
      <c r="E232" s="217" t="s">
        <v>152</v>
      </c>
      <c r="F232" s="217"/>
      <c r="G232" s="344">
        <f>G231</f>
        <v>1470.683</v>
      </c>
      <c r="H232" s="344">
        <f>H231</f>
        <v>1470.6823400000001</v>
      </c>
      <c r="I232" s="102">
        <f t="shared" si="23"/>
        <v>99.999955122891876</v>
      </c>
    </row>
    <row r="233" spans="1:14" ht="31.5" x14ac:dyDescent="0.25">
      <c r="A233" s="19" t="s">
        <v>878</v>
      </c>
      <c r="B233" s="218" t="s">
        <v>631</v>
      </c>
      <c r="C233" s="217" t="s">
        <v>145</v>
      </c>
      <c r="D233" s="217" t="s">
        <v>81</v>
      </c>
      <c r="E233" s="217" t="s">
        <v>152</v>
      </c>
      <c r="F233" s="217" t="s">
        <v>238</v>
      </c>
      <c r="G233" s="344">
        <f>G232</f>
        <v>1470.683</v>
      </c>
      <c r="H233" s="344">
        <f>H232</f>
        <v>1470.6823400000001</v>
      </c>
      <c r="I233" s="102">
        <f t="shared" si="23"/>
        <v>99.999955122891876</v>
      </c>
    </row>
    <row r="234" spans="1:14" ht="31.5" hidden="1" x14ac:dyDescent="0.25">
      <c r="A234" s="215" t="s">
        <v>855</v>
      </c>
      <c r="B234" s="218" t="s">
        <v>632</v>
      </c>
      <c r="C234" s="217" t="s">
        <v>145</v>
      </c>
      <c r="D234" s="217" t="s">
        <v>81</v>
      </c>
      <c r="E234" s="217"/>
      <c r="F234" s="217"/>
      <c r="G234" s="344">
        <f>G235</f>
        <v>0</v>
      </c>
      <c r="H234" s="344">
        <f>H235</f>
        <v>0</v>
      </c>
      <c r="I234" s="102" t="e">
        <f t="shared" si="23"/>
        <v>#DIV/0!</v>
      </c>
    </row>
    <row r="235" spans="1:14" s="75" customFormat="1" ht="47.25" hidden="1" x14ac:dyDescent="0.25">
      <c r="A235" s="19" t="s">
        <v>149</v>
      </c>
      <c r="B235" s="218" t="s">
        <v>632</v>
      </c>
      <c r="C235" s="217" t="s">
        <v>145</v>
      </c>
      <c r="D235" s="217" t="s">
        <v>81</v>
      </c>
      <c r="E235" s="217" t="s">
        <v>150</v>
      </c>
      <c r="F235" s="217"/>
      <c r="G235" s="344">
        <f>G236</f>
        <v>0</v>
      </c>
      <c r="H235" s="344">
        <f>H236</f>
        <v>0</v>
      </c>
      <c r="I235" s="102" t="e">
        <f t="shared" si="23"/>
        <v>#DIV/0!</v>
      </c>
      <c r="J235" s="125"/>
      <c r="K235" s="125"/>
      <c r="L235" s="125"/>
      <c r="M235" s="125"/>
      <c r="N235" s="125"/>
    </row>
    <row r="236" spans="1:14" s="75" customFormat="1" ht="15.75" hidden="1" x14ac:dyDescent="0.25">
      <c r="A236" s="19" t="s">
        <v>151</v>
      </c>
      <c r="B236" s="218" t="s">
        <v>632</v>
      </c>
      <c r="C236" s="217" t="s">
        <v>145</v>
      </c>
      <c r="D236" s="217" t="s">
        <v>81</v>
      </c>
      <c r="E236" s="217" t="s">
        <v>152</v>
      </c>
      <c r="F236" s="217"/>
      <c r="G236" s="344">
        <f>'Пр.4 Ведом23'!G739</f>
        <v>0</v>
      </c>
      <c r="H236" s="344">
        <f>'Пр.4 Ведом23'!H739</f>
        <v>0</v>
      </c>
      <c r="I236" s="102" t="e">
        <f t="shared" si="23"/>
        <v>#DIV/0!</v>
      </c>
      <c r="J236" s="125"/>
      <c r="K236" s="125"/>
      <c r="L236" s="125"/>
      <c r="M236" s="125"/>
      <c r="N236" s="125"/>
    </row>
    <row r="237" spans="1:14" s="75" customFormat="1" ht="31.5" hidden="1" x14ac:dyDescent="0.25">
      <c r="A237" s="19" t="s">
        <v>878</v>
      </c>
      <c r="B237" s="218" t="s">
        <v>632</v>
      </c>
      <c r="C237" s="217" t="s">
        <v>145</v>
      </c>
      <c r="D237" s="217" t="s">
        <v>81</v>
      </c>
      <c r="E237" s="217" t="s">
        <v>152</v>
      </c>
      <c r="F237" s="217" t="s">
        <v>238</v>
      </c>
      <c r="G237" s="344">
        <f>G236</f>
        <v>0</v>
      </c>
      <c r="H237" s="344">
        <f>H236</f>
        <v>0</v>
      </c>
      <c r="I237" s="102" t="e">
        <f t="shared" si="23"/>
        <v>#DIV/0!</v>
      </c>
      <c r="J237" s="125"/>
      <c r="K237" s="125"/>
      <c r="L237" s="125"/>
      <c r="M237" s="125"/>
      <c r="N237" s="125"/>
    </row>
    <row r="238" spans="1:14" s="75" customFormat="1" ht="31.5" x14ac:dyDescent="0.25">
      <c r="A238" s="19" t="s">
        <v>858</v>
      </c>
      <c r="B238" s="218" t="s">
        <v>587</v>
      </c>
      <c r="C238" s="217" t="s">
        <v>145</v>
      </c>
      <c r="D238" s="217" t="s">
        <v>81</v>
      </c>
      <c r="E238" s="217"/>
      <c r="F238" s="217"/>
      <c r="G238" s="344">
        <f>G239</f>
        <v>3895.8590300000005</v>
      </c>
      <c r="H238" s="344">
        <f>H239</f>
        <v>3787.2713399999998</v>
      </c>
      <c r="I238" s="102">
        <f t="shared" si="23"/>
        <v>97.21274078030487</v>
      </c>
      <c r="J238" s="125"/>
      <c r="K238" s="125"/>
      <c r="L238" s="125"/>
      <c r="M238" s="125"/>
      <c r="N238" s="125"/>
    </row>
    <row r="239" spans="1:14" s="75" customFormat="1" ht="47.25" x14ac:dyDescent="0.25">
      <c r="A239" s="19" t="s">
        <v>149</v>
      </c>
      <c r="B239" s="218" t="s">
        <v>587</v>
      </c>
      <c r="C239" s="217" t="s">
        <v>145</v>
      </c>
      <c r="D239" s="217" t="s">
        <v>81</v>
      </c>
      <c r="E239" s="217" t="s">
        <v>150</v>
      </c>
      <c r="F239" s="217"/>
      <c r="G239" s="344">
        <f>G240</f>
        <v>3895.8590300000005</v>
      </c>
      <c r="H239" s="344">
        <f>H240</f>
        <v>3787.2713399999998</v>
      </c>
      <c r="I239" s="102">
        <f t="shared" si="23"/>
        <v>97.21274078030487</v>
      </c>
      <c r="J239" s="125"/>
      <c r="K239" s="125"/>
      <c r="L239" s="125"/>
      <c r="M239" s="125"/>
      <c r="N239" s="125"/>
    </row>
    <row r="240" spans="1:14" s="75" customFormat="1" ht="15.75" x14ac:dyDescent="0.25">
      <c r="A240" s="19" t="s">
        <v>151</v>
      </c>
      <c r="B240" s="218" t="s">
        <v>587</v>
      </c>
      <c r="C240" s="217" t="s">
        <v>145</v>
      </c>
      <c r="D240" s="217" t="s">
        <v>81</v>
      </c>
      <c r="E240" s="217" t="s">
        <v>152</v>
      </c>
      <c r="F240" s="217"/>
      <c r="G240" s="344">
        <f>'Пр.4 Ведом23'!G742</f>
        <v>3895.8590300000005</v>
      </c>
      <c r="H240" s="344">
        <f>'Пр.4 Ведом23'!H742</f>
        <v>3787.2713399999998</v>
      </c>
      <c r="I240" s="102">
        <f t="shared" si="23"/>
        <v>97.21274078030487</v>
      </c>
      <c r="J240" s="125"/>
      <c r="K240" s="125"/>
      <c r="L240" s="125"/>
      <c r="M240" s="125"/>
      <c r="N240" s="125"/>
    </row>
    <row r="241" spans="1:14" s="75" customFormat="1" ht="31.5" x14ac:dyDescent="0.25">
      <c r="A241" s="19" t="s">
        <v>878</v>
      </c>
      <c r="B241" s="218" t="s">
        <v>587</v>
      </c>
      <c r="C241" s="217" t="s">
        <v>145</v>
      </c>
      <c r="D241" s="217" t="s">
        <v>81</v>
      </c>
      <c r="E241" s="217" t="s">
        <v>152</v>
      </c>
      <c r="F241" s="217" t="s">
        <v>238</v>
      </c>
      <c r="G241" s="344">
        <f>G240</f>
        <v>3895.8590300000005</v>
      </c>
      <c r="H241" s="344">
        <f>H240</f>
        <v>3787.2713399999998</v>
      </c>
      <c r="I241" s="102">
        <f t="shared" si="23"/>
        <v>97.21274078030487</v>
      </c>
      <c r="J241" s="125"/>
      <c r="K241" s="125"/>
      <c r="L241" s="125"/>
      <c r="M241" s="125"/>
      <c r="N241" s="125"/>
    </row>
    <row r="242" spans="1:14" s="75" customFormat="1" ht="15.75" hidden="1" x14ac:dyDescent="0.25">
      <c r="A242" s="19" t="s">
        <v>144</v>
      </c>
      <c r="B242" s="217" t="s">
        <v>586</v>
      </c>
      <c r="C242" s="217" t="s">
        <v>145</v>
      </c>
      <c r="D242" s="217"/>
      <c r="E242" s="217"/>
      <c r="F242" s="217"/>
      <c r="G242" s="344">
        <f>G243</f>
        <v>2235.4479999999999</v>
      </c>
      <c r="H242" s="344">
        <f>H243</f>
        <v>1860.0084700000002</v>
      </c>
      <c r="I242" s="102">
        <f t="shared" si="23"/>
        <v>83.205177217273686</v>
      </c>
      <c r="J242" s="125"/>
      <c r="K242" s="125"/>
      <c r="L242" s="125"/>
      <c r="M242" s="125"/>
      <c r="N242" s="125"/>
    </row>
    <row r="243" spans="1:14" s="75" customFormat="1" ht="15.75" x14ac:dyDescent="0.25">
      <c r="A243" s="19" t="s">
        <v>190</v>
      </c>
      <c r="B243" s="217" t="s">
        <v>586</v>
      </c>
      <c r="C243" s="217" t="s">
        <v>145</v>
      </c>
      <c r="D243" s="217" t="s">
        <v>119</v>
      </c>
      <c r="E243" s="217"/>
      <c r="F243" s="217"/>
      <c r="G243" s="344">
        <f>G244+G248+G252+G256+G260</f>
        <v>2235.4479999999999</v>
      </c>
      <c r="H243" s="344">
        <f>H244+H248+H252+H256+H260</f>
        <v>1860.0084700000002</v>
      </c>
      <c r="I243" s="102">
        <f t="shared" si="23"/>
        <v>83.205177217273686</v>
      </c>
      <c r="J243" s="125"/>
      <c r="K243" s="125"/>
      <c r="L243" s="125"/>
      <c r="M243" s="125"/>
      <c r="N243" s="125"/>
    </row>
    <row r="244" spans="1:14" s="75" customFormat="1" ht="47.25" hidden="1" x14ac:dyDescent="0.25">
      <c r="A244" s="215" t="s">
        <v>192</v>
      </c>
      <c r="B244" s="218" t="s">
        <v>630</v>
      </c>
      <c r="C244" s="217" t="s">
        <v>145</v>
      </c>
      <c r="D244" s="217" t="s">
        <v>119</v>
      </c>
      <c r="E244" s="217"/>
      <c r="F244" s="217"/>
      <c r="G244" s="344">
        <f>G245</f>
        <v>0</v>
      </c>
      <c r="H244" s="344">
        <f>H245</f>
        <v>0</v>
      </c>
      <c r="I244" s="102" t="e">
        <f t="shared" si="23"/>
        <v>#DIV/0!</v>
      </c>
      <c r="J244" s="125"/>
      <c r="K244" s="125"/>
      <c r="L244" s="125"/>
      <c r="M244" s="125"/>
      <c r="N244" s="125"/>
    </row>
    <row r="245" spans="1:14" s="75" customFormat="1" ht="47.25" hidden="1" x14ac:dyDescent="0.25">
      <c r="A245" s="215" t="s">
        <v>149</v>
      </c>
      <c r="B245" s="218" t="s">
        <v>630</v>
      </c>
      <c r="C245" s="217" t="s">
        <v>145</v>
      </c>
      <c r="D245" s="217" t="s">
        <v>119</v>
      </c>
      <c r="E245" s="217" t="s">
        <v>150</v>
      </c>
      <c r="F245" s="217"/>
      <c r="G245" s="344">
        <f>G246</f>
        <v>0</v>
      </c>
      <c r="H245" s="344">
        <f>H246</f>
        <v>0</v>
      </c>
      <c r="I245" s="102" t="e">
        <f t="shared" si="23"/>
        <v>#DIV/0!</v>
      </c>
      <c r="J245" s="125"/>
      <c r="K245" s="125"/>
      <c r="L245" s="125"/>
      <c r="M245" s="125"/>
      <c r="N245" s="125"/>
    </row>
    <row r="246" spans="1:14" s="75" customFormat="1" ht="15.75" hidden="1" x14ac:dyDescent="0.25">
      <c r="A246" s="215" t="s">
        <v>151</v>
      </c>
      <c r="B246" s="218" t="s">
        <v>630</v>
      </c>
      <c r="C246" s="217" t="s">
        <v>145</v>
      </c>
      <c r="D246" s="217" t="s">
        <v>119</v>
      </c>
      <c r="E246" s="217" t="s">
        <v>152</v>
      </c>
      <c r="F246" s="217"/>
      <c r="G246" s="344">
        <f>'Пр.4 Ведом23'!G790</f>
        <v>0</v>
      </c>
      <c r="H246" s="344">
        <f>'Пр.4 Ведом23'!H790</f>
        <v>0</v>
      </c>
      <c r="I246" s="102" t="e">
        <f t="shared" si="23"/>
        <v>#DIV/0!</v>
      </c>
      <c r="J246" s="125"/>
      <c r="K246" s="125"/>
      <c r="L246" s="125"/>
      <c r="M246" s="125"/>
      <c r="N246" s="125"/>
    </row>
    <row r="247" spans="1:14" s="75" customFormat="1" ht="31.5" hidden="1" x14ac:dyDescent="0.25">
      <c r="A247" s="19" t="s">
        <v>878</v>
      </c>
      <c r="B247" s="218" t="s">
        <v>630</v>
      </c>
      <c r="C247" s="217" t="s">
        <v>145</v>
      </c>
      <c r="D247" s="217" t="s">
        <v>119</v>
      </c>
      <c r="E247" s="217" t="s">
        <v>152</v>
      </c>
      <c r="F247" s="217" t="s">
        <v>238</v>
      </c>
      <c r="G247" s="344">
        <f>G246</f>
        <v>0</v>
      </c>
      <c r="H247" s="344">
        <f>H246</f>
        <v>0</v>
      </c>
      <c r="I247" s="102" t="e">
        <f t="shared" si="23"/>
        <v>#DIV/0!</v>
      </c>
      <c r="J247" s="125"/>
      <c r="K247" s="125"/>
      <c r="L247" s="125"/>
      <c r="M247" s="125"/>
      <c r="N247" s="125"/>
    </row>
    <row r="248" spans="1:14" s="75" customFormat="1" ht="31.5" x14ac:dyDescent="0.25">
      <c r="A248" s="215" t="s">
        <v>153</v>
      </c>
      <c r="B248" s="218" t="s">
        <v>631</v>
      </c>
      <c r="C248" s="217" t="s">
        <v>145</v>
      </c>
      <c r="D248" s="217" t="s">
        <v>119</v>
      </c>
      <c r="E248" s="217"/>
      <c r="F248" s="217"/>
      <c r="G248" s="344">
        <f>G249</f>
        <v>2002.9699999999998</v>
      </c>
      <c r="H248" s="344">
        <f>H249</f>
        <v>1657.63067</v>
      </c>
      <c r="I248" s="102">
        <f t="shared" si="23"/>
        <v>82.758636924167618</v>
      </c>
      <c r="J248" s="125"/>
      <c r="K248" s="125"/>
      <c r="L248" s="125"/>
      <c r="M248" s="125"/>
      <c r="N248" s="125"/>
    </row>
    <row r="249" spans="1:14" s="75" customFormat="1" ht="47.25" x14ac:dyDescent="0.25">
      <c r="A249" s="215" t="s">
        <v>149</v>
      </c>
      <c r="B249" s="218" t="s">
        <v>631</v>
      </c>
      <c r="C249" s="217" t="s">
        <v>145</v>
      </c>
      <c r="D249" s="217" t="s">
        <v>119</v>
      </c>
      <c r="E249" s="217" t="s">
        <v>150</v>
      </c>
      <c r="F249" s="217"/>
      <c r="G249" s="344">
        <f>G250</f>
        <v>2002.9699999999998</v>
      </c>
      <c r="H249" s="344">
        <f>H250</f>
        <v>1657.63067</v>
      </c>
      <c r="I249" s="102">
        <f t="shared" si="23"/>
        <v>82.758636924167618</v>
      </c>
      <c r="J249" s="125"/>
      <c r="K249" s="125"/>
      <c r="L249" s="125"/>
      <c r="M249" s="125"/>
      <c r="N249" s="125"/>
    </row>
    <row r="250" spans="1:14" s="75" customFormat="1" ht="15.75" x14ac:dyDescent="0.25">
      <c r="A250" s="215" t="s">
        <v>151</v>
      </c>
      <c r="B250" s="218" t="s">
        <v>631</v>
      </c>
      <c r="C250" s="217" t="s">
        <v>145</v>
      </c>
      <c r="D250" s="217" t="s">
        <v>119</v>
      </c>
      <c r="E250" s="217" t="s">
        <v>152</v>
      </c>
      <c r="F250" s="217"/>
      <c r="G250" s="344">
        <f>'Пр.4 Ведом23'!G793</f>
        <v>2002.9699999999998</v>
      </c>
      <c r="H250" s="344">
        <f>'Пр.4 Ведом23'!H793</f>
        <v>1657.63067</v>
      </c>
      <c r="I250" s="102">
        <f t="shared" si="23"/>
        <v>82.758636924167618</v>
      </c>
      <c r="J250" s="125"/>
      <c r="K250" s="125"/>
      <c r="L250" s="125"/>
      <c r="M250" s="125"/>
      <c r="N250" s="125"/>
    </row>
    <row r="251" spans="1:14" s="75" customFormat="1" ht="31.5" x14ac:dyDescent="0.25">
      <c r="A251" s="19" t="s">
        <v>878</v>
      </c>
      <c r="B251" s="218" t="s">
        <v>631</v>
      </c>
      <c r="C251" s="217" t="s">
        <v>145</v>
      </c>
      <c r="D251" s="217" t="s">
        <v>119</v>
      </c>
      <c r="E251" s="217" t="s">
        <v>152</v>
      </c>
      <c r="F251" s="217" t="s">
        <v>238</v>
      </c>
      <c r="G251" s="344">
        <f>G250</f>
        <v>2002.9699999999998</v>
      </c>
      <c r="H251" s="344">
        <f>H250</f>
        <v>1657.63067</v>
      </c>
      <c r="I251" s="102">
        <f t="shared" si="23"/>
        <v>82.758636924167618</v>
      </c>
      <c r="J251" s="125"/>
      <c r="K251" s="125"/>
      <c r="L251" s="125"/>
      <c r="M251" s="125"/>
      <c r="N251" s="125"/>
    </row>
    <row r="252" spans="1:14" s="75" customFormat="1" ht="31.5" hidden="1" x14ac:dyDescent="0.25">
      <c r="A252" s="215" t="s">
        <v>855</v>
      </c>
      <c r="B252" s="218" t="s">
        <v>632</v>
      </c>
      <c r="C252" s="217" t="s">
        <v>145</v>
      </c>
      <c r="D252" s="217" t="s">
        <v>119</v>
      </c>
      <c r="E252" s="217"/>
      <c r="F252" s="217"/>
      <c r="G252" s="344">
        <f>G253</f>
        <v>0</v>
      </c>
      <c r="H252" s="344">
        <f>H253</f>
        <v>0</v>
      </c>
      <c r="I252" s="102" t="e">
        <f t="shared" si="23"/>
        <v>#DIV/0!</v>
      </c>
      <c r="J252" s="125"/>
      <c r="K252" s="125"/>
      <c r="L252" s="125"/>
      <c r="M252" s="125"/>
      <c r="N252" s="125"/>
    </row>
    <row r="253" spans="1:14" s="75" customFormat="1" ht="47.25" hidden="1" x14ac:dyDescent="0.25">
      <c r="A253" s="215" t="s">
        <v>149</v>
      </c>
      <c r="B253" s="218" t="s">
        <v>632</v>
      </c>
      <c r="C253" s="217" t="s">
        <v>145</v>
      </c>
      <c r="D253" s="217" t="s">
        <v>119</v>
      </c>
      <c r="E253" s="217" t="s">
        <v>150</v>
      </c>
      <c r="F253" s="217"/>
      <c r="G253" s="344">
        <f>G254</f>
        <v>0</v>
      </c>
      <c r="H253" s="344">
        <f>H254</f>
        <v>0</v>
      </c>
      <c r="I253" s="102" t="e">
        <f t="shared" si="23"/>
        <v>#DIV/0!</v>
      </c>
      <c r="J253" s="125"/>
      <c r="K253" s="125"/>
      <c r="L253" s="125"/>
      <c r="M253" s="125"/>
      <c r="N253" s="125"/>
    </row>
    <row r="254" spans="1:14" s="75" customFormat="1" ht="15.75" hidden="1" x14ac:dyDescent="0.25">
      <c r="A254" s="215" t="s">
        <v>151</v>
      </c>
      <c r="B254" s="218" t="s">
        <v>632</v>
      </c>
      <c r="C254" s="217" t="s">
        <v>145</v>
      </c>
      <c r="D254" s="217" t="s">
        <v>119</v>
      </c>
      <c r="E254" s="217" t="s">
        <v>152</v>
      </c>
      <c r="F254" s="217"/>
      <c r="G254" s="344">
        <f>'Пр.4 Ведом23'!G796</f>
        <v>0</v>
      </c>
      <c r="H254" s="344">
        <f>'Пр.4 Ведом23'!H796</f>
        <v>0</v>
      </c>
      <c r="I254" s="102" t="e">
        <f t="shared" si="23"/>
        <v>#DIV/0!</v>
      </c>
      <c r="J254" s="125"/>
      <c r="K254" s="125"/>
      <c r="L254" s="125"/>
      <c r="M254" s="125"/>
      <c r="N254" s="125"/>
    </row>
    <row r="255" spans="1:14" s="75" customFormat="1" ht="31.5" hidden="1" x14ac:dyDescent="0.25">
      <c r="A255" s="19" t="s">
        <v>878</v>
      </c>
      <c r="B255" s="218" t="s">
        <v>632</v>
      </c>
      <c r="C255" s="217" t="s">
        <v>145</v>
      </c>
      <c r="D255" s="217" t="s">
        <v>119</v>
      </c>
      <c r="E255" s="217" t="s">
        <v>152</v>
      </c>
      <c r="F255" s="217" t="s">
        <v>238</v>
      </c>
      <c r="G255" s="344">
        <f>G254</f>
        <v>0</v>
      </c>
      <c r="H255" s="344">
        <f>H254</f>
        <v>0</v>
      </c>
      <c r="I255" s="102" t="e">
        <f t="shared" si="23"/>
        <v>#DIV/0!</v>
      </c>
      <c r="J255" s="125"/>
      <c r="K255" s="125"/>
      <c r="L255" s="125"/>
      <c r="M255" s="125"/>
      <c r="N255" s="125"/>
    </row>
    <row r="256" spans="1:14" s="75" customFormat="1" ht="31.5" x14ac:dyDescent="0.25">
      <c r="A256" s="215" t="s">
        <v>154</v>
      </c>
      <c r="B256" s="218" t="s">
        <v>596</v>
      </c>
      <c r="C256" s="217" t="s">
        <v>145</v>
      </c>
      <c r="D256" s="217" t="s">
        <v>119</v>
      </c>
      <c r="E256" s="217"/>
      <c r="F256" s="217"/>
      <c r="G256" s="344">
        <f>G257</f>
        <v>165.49999999999997</v>
      </c>
      <c r="H256" s="344">
        <f>H257</f>
        <v>135.4</v>
      </c>
      <c r="I256" s="102">
        <f t="shared" si="23"/>
        <v>81.812688821752289</v>
      </c>
      <c r="J256" s="125"/>
      <c r="K256" s="125"/>
      <c r="L256" s="125"/>
      <c r="M256" s="125"/>
      <c r="N256" s="125"/>
    </row>
    <row r="257" spans="1:14" s="75" customFormat="1" ht="47.25" x14ac:dyDescent="0.25">
      <c r="A257" s="19" t="s">
        <v>149</v>
      </c>
      <c r="B257" s="218" t="s">
        <v>596</v>
      </c>
      <c r="C257" s="217" t="s">
        <v>145</v>
      </c>
      <c r="D257" s="217" t="s">
        <v>119</v>
      </c>
      <c r="E257" s="217" t="s">
        <v>150</v>
      </c>
      <c r="F257" s="217"/>
      <c r="G257" s="344">
        <f>G258</f>
        <v>165.49999999999997</v>
      </c>
      <c r="H257" s="344">
        <f>H258</f>
        <v>135.4</v>
      </c>
      <c r="I257" s="102">
        <f t="shared" si="23"/>
        <v>81.812688821752289</v>
      </c>
      <c r="J257" s="125"/>
      <c r="K257" s="125"/>
      <c r="L257" s="125"/>
      <c r="M257" s="125"/>
      <c r="N257" s="125"/>
    </row>
    <row r="258" spans="1:14" ht="15.75" x14ac:dyDescent="0.25">
      <c r="A258" s="19" t="s">
        <v>151</v>
      </c>
      <c r="B258" s="218" t="s">
        <v>596</v>
      </c>
      <c r="C258" s="217" t="s">
        <v>145</v>
      </c>
      <c r="D258" s="217" t="s">
        <v>119</v>
      </c>
      <c r="E258" s="217" t="s">
        <v>152</v>
      </c>
      <c r="F258" s="217"/>
      <c r="G258" s="344">
        <f>'Пр.4 Ведом23'!G799</f>
        <v>165.49999999999997</v>
      </c>
      <c r="H258" s="344">
        <f>'Пр.4 Ведом23'!H799</f>
        <v>135.4</v>
      </c>
      <c r="I258" s="102">
        <f t="shared" si="23"/>
        <v>81.812688821752289</v>
      </c>
      <c r="K258" s="234"/>
    </row>
    <row r="259" spans="1:14" s="75" customFormat="1" ht="31.5" x14ac:dyDescent="0.25">
      <c r="A259" s="19" t="s">
        <v>878</v>
      </c>
      <c r="B259" s="218" t="s">
        <v>596</v>
      </c>
      <c r="C259" s="217" t="s">
        <v>145</v>
      </c>
      <c r="D259" s="217" t="s">
        <v>119</v>
      </c>
      <c r="E259" s="217" t="s">
        <v>152</v>
      </c>
      <c r="F259" s="217" t="s">
        <v>238</v>
      </c>
      <c r="G259" s="344">
        <f>G258</f>
        <v>165.49999999999997</v>
      </c>
      <c r="H259" s="344">
        <f>H258</f>
        <v>135.4</v>
      </c>
      <c r="I259" s="102">
        <f t="shared" si="23"/>
        <v>81.812688821752289</v>
      </c>
      <c r="J259" s="125"/>
      <c r="K259" s="125"/>
      <c r="L259" s="125"/>
      <c r="M259" s="125"/>
      <c r="N259" s="125"/>
    </row>
    <row r="260" spans="1:14" s="332" customFormat="1" ht="47.25" x14ac:dyDescent="0.25">
      <c r="A260" s="310" t="s">
        <v>1090</v>
      </c>
      <c r="B260" s="334" t="s">
        <v>1091</v>
      </c>
      <c r="C260" s="217" t="s">
        <v>145</v>
      </c>
      <c r="D260" s="217" t="s">
        <v>119</v>
      </c>
      <c r="E260" s="217"/>
      <c r="F260" s="217"/>
      <c r="G260" s="344">
        <f>G261</f>
        <v>66.977999999999994</v>
      </c>
      <c r="H260" s="344">
        <f>H261</f>
        <v>66.977800000000002</v>
      </c>
      <c r="I260" s="102">
        <f t="shared" si="23"/>
        <v>99.999701394487744</v>
      </c>
      <c r="J260" s="125"/>
      <c r="K260" s="125"/>
      <c r="L260" s="125"/>
      <c r="M260" s="125"/>
      <c r="N260" s="125"/>
    </row>
    <row r="261" spans="1:14" s="332" customFormat="1" ht="47.25" x14ac:dyDescent="0.25">
      <c r="A261" s="335" t="s">
        <v>149</v>
      </c>
      <c r="B261" s="334" t="s">
        <v>1091</v>
      </c>
      <c r="C261" s="217" t="s">
        <v>145</v>
      </c>
      <c r="D261" s="217" t="s">
        <v>119</v>
      </c>
      <c r="E261" s="217" t="s">
        <v>150</v>
      </c>
      <c r="F261" s="217"/>
      <c r="G261" s="344">
        <f>G262</f>
        <v>66.977999999999994</v>
      </c>
      <c r="H261" s="344">
        <f>H262</f>
        <v>66.977800000000002</v>
      </c>
      <c r="I261" s="102">
        <f t="shared" si="23"/>
        <v>99.999701394487744</v>
      </c>
      <c r="J261" s="125"/>
      <c r="K261" s="125"/>
      <c r="L261" s="125"/>
      <c r="M261" s="125"/>
      <c r="N261" s="125"/>
    </row>
    <row r="262" spans="1:14" s="332" customFormat="1" ht="15.75" x14ac:dyDescent="0.25">
      <c r="A262" s="335" t="s">
        <v>151</v>
      </c>
      <c r="B262" s="334" t="s">
        <v>1091</v>
      </c>
      <c r="C262" s="217" t="s">
        <v>145</v>
      </c>
      <c r="D262" s="217" t="s">
        <v>119</v>
      </c>
      <c r="E262" s="217" t="s">
        <v>152</v>
      </c>
      <c r="F262" s="217"/>
      <c r="G262" s="344">
        <f>'Пр.4 Ведом23'!G802</f>
        <v>66.977999999999994</v>
      </c>
      <c r="H262" s="344">
        <f>'Пр.4 Ведом23'!H802</f>
        <v>66.977800000000002</v>
      </c>
      <c r="I262" s="102">
        <f t="shared" si="23"/>
        <v>99.999701394487744</v>
      </c>
      <c r="J262" s="125"/>
      <c r="K262" s="125"/>
      <c r="L262" s="125"/>
      <c r="M262" s="125"/>
      <c r="N262" s="125"/>
    </row>
    <row r="263" spans="1:14" s="332" customFormat="1" ht="31.5" x14ac:dyDescent="0.25">
      <c r="A263" s="19" t="s">
        <v>878</v>
      </c>
      <c r="B263" s="334" t="s">
        <v>1091</v>
      </c>
      <c r="C263" s="217" t="s">
        <v>145</v>
      </c>
      <c r="D263" s="217" t="s">
        <v>119</v>
      </c>
      <c r="E263" s="217" t="s">
        <v>152</v>
      </c>
      <c r="F263" s="217" t="s">
        <v>238</v>
      </c>
      <c r="G263" s="344">
        <f>G262</f>
        <v>66.977999999999994</v>
      </c>
      <c r="H263" s="344">
        <f>H262</f>
        <v>66.977800000000002</v>
      </c>
      <c r="I263" s="102">
        <f t="shared" si="23"/>
        <v>99.999701394487744</v>
      </c>
      <c r="J263" s="125"/>
      <c r="K263" s="125"/>
      <c r="L263" s="125"/>
      <c r="M263" s="125"/>
      <c r="N263" s="125"/>
    </row>
    <row r="264" spans="1:14" s="131" customFormat="1" ht="15.75" hidden="1" x14ac:dyDescent="0.25">
      <c r="A264" s="19" t="s">
        <v>146</v>
      </c>
      <c r="B264" s="218" t="s">
        <v>586</v>
      </c>
      <c r="C264" s="217" t="s">
        <v>145</v>
      </c>
      <c r="D264" s="217" t="s">
        <v>120</v>
      </c>
      <c r="E264" s="217"/>
      <c r="F264" s="217"/>
      <c r="G264" s="344">
        <f t="shared" ref="G264:H266" si="25">G265</f>
        <v>0</v>
      </c>
      <c r="H264" s="344">
        <f t="shared" si="25"/>
        <v>0</v>
      </c>
      <c r="I264" s="102" t="e">
        <f t="shared" si="23"/>
        <v>#DIV/0!</v>
      </c>
      <c r="J264" s="125"/>
      <c r="K264" s="125"/>
      <c r="L264" s="125"/>
      <c r="M264" s="125"/>
      <c r="N264" s="125"/>
    </row>
    <row r="265" spans="1:14" s="131" customFormat="1" ht="31.5" hidden="1" x14ac:dyDescent="0.25">
      <c r="A265" s="26" t="s">
        <v>263</v>
      </c>
      <c r="B265" s="218" t="s">
        <v>637</v>
      </c>
      <c r="C265" s="217" t="s">
        <v>145</v>
      </c>
      <c r="D265" s="217" t="s">
        <v>120</v>
      </c>
      <c r="E265" s="217"/>
      <c r="F265" s="217"/>
      <c r="G265" s="344">
        <f t="shared" si="25"/>
        <v>0</v>
      </c>
      <c r="H265" s="344">
        <f t="shared" si="25"/>
        <v>0</v>
      </c>
      <c r="I265" s="102" t="e">
        <f t="shared" si="23"/>
        <v>#DIV/0!</v>
      </c>
      <c r="J265" s="125"/>
      <c r="K265" s="125"/>
      <c r="L265" s="125"/>
      <c r="M265" s="125"/>
      <c r="N265" s="125"/>
    </row>
    <row r="266" spans="1:14" s="131" customFormat="1" ht="47.25" hidden="1" x14ac:dyDescent="0.25">
      <c r="A266" s="20" t="s">
        <v>149</v>
      </c>
      <c r="B266" s="218" t="s">
        <v>637</v>
      </c>
      <c r="C266" s="217" t="s">
        <v>145</v>
      </c>
      <c r="D266" s="217" t="s">
        <v>120</v>
      </c>
      <c r="E266" s="217" t="s">
        <v>150</v>
      </c>
      <c r="F266" s="217"/>
      <c r="G266" s="344">
        <f t="shared" si="25"/>
        <v>0</v>
      </c>
      <c r="H266" s="344">
        <f t="shared" si="25"/>
        <v>0</v>
      </c>
      <c r="I266" s="102" t="e">
        <f t="shared" si="23"/>
        <v>#DIV/0!</v>
      </c>
      <c r="J266" s="125"/>
      <c r="K266" s="125"/>
      <c r="L266" s="125"/>
      <c r="M266" s="125"/>
      <c r="N266" s="125"/>
    </row>
    <row r="267" spans="1:14" s="131" customFormat="1" ht="15.75" hidden="1" x14ac:dyDescent="0.25">
      <c r="A267" s="20" t="s">
        <v>151</v>
      </c>
      <c r="B267" s="218" t="s">
        <v>637</v>
      </c>
      <c r="C267" s="217" t="s">
        <v>145</v>
      </c>
      <c r="D267" s="217" t="s">
        <v>120</v>
      </c>
      <c r="E267" s="217" t="s">
        <v>152</v>
      </c>
      <c r="F267" s="217"/>
      <c r="G267" s="344">
        <f>'Пр.4 Ведом23'!G860</f>
        <v>0</v>
      </c>
      <c r="H267" s="344">
        <f>'Пр.4 Ведом23'!H860</f>
        <v>0</v>
      </c>
      <c r="I267" s="102" t="e">
        <f t="shared" si="23"/>
        <v>#DIV/0!</v>
      </c>
      <c r="J267" s="125"/>
      <c r="K267" s="125"/>
      <c r="L267" s="125"/>
      <c r="M267" s="125"/>
      <c r="N267" s="125"/>
    </row>
    <row r="268" spans="1:14" s="131" customFormat="1" ht="31.5" hidden="1" x14ac:dyDescent="0.25">
      <c r="A268" s="19" t="s">
        <v>878</v>
      </c>
      <c r="B268" s="218" t="s">
        <v>637</v>
      </c>
      <c r="C268" s="217" t="s">
        <v>145</v>
      </c>
      <c r="D268" s="217" t="s">
        <v>120</v>
      </c>
      <c r="E268" s="217" t="s">
        <v>152</v>
      </c>
      <c r="F268" s="217" t="s">
        <v>238</v>
      </c>
      <c r="G268" s="344">
        <f>G267</f>
        <v>0</v>
      </c>
      <c r="H268" s="344">
        <f>H267</f>
        <v>0</v>
      </c>
      <c r="I268" s="102" t="e">
        <f t="shared" si="23"/>
        <v>#DIV/0!</v>
      </c>
      <c r="J268" s="125"/>
      <c r="K268" s="125"/>
      <c r="L268" s="125"/>
      <c r="M268" s="125"/>
      <c r="N268" s="125"/>
    </row>
    <row r="269" spans="1:14" ht="31.5" x14ac:dyDescent="0.25">
      <c r="A269" s="116" t="s">
        <v>377</v>
      </c>
      <c r="B269" s="117" t="s">
        <v>588</v>
      </c>
      <c r="C269" s="6"/>
      <c r="D269" s="6"/>
      <c r="E269" s="6"/>
      <c r="F269" s="6"/>
      <c r="G269" s="302">
        <f t="shared" ref="G269:H273" si="26">G270</f>
        <v>8247.3869299999969</v>
      </c>
      <c r="H269" s="567">
        <f t="shared" si="26"/>
        <v>8057.9157100000002</v>
      </c>
      <c r="I269" s="221">
        <f t="shared" si="23"/>
        <v>97.702651499097342</v>
      </c>
    </row>
    <row r="270" spans="1:14" ht="15.75" x14ac:dyDescent="0.25">
      <c r="A270" s="19" t="s">
        <v>144</v>
      </c>
      <c r="B270" s="218" t="s">
        <v>588</v>
      </c>
      <c r="C270" s="217" t="s">
        <v>145</v>
      </c>
      <c r="D270" s="217"/>
      <c r="E270" s="217"/>
      <c r="F270" s="217"/>
      <c r="G270" s="344">
        <f t="shared" si="26"/>
        <v>8247.3869299999969</v>
      </c>
      <c r="H270" s="344">
        <f t="shared" si="26"/>
        <v>8057.9157100000002</v>
      </c>
      <c r="I270" s="102">
        <f t="shared" si="23"/>
        <v>97.702651499097342</v>
      </c>
    </row>
    <row r="271" spans="1:14" ht="15.75" x14ac:dyDescent="0.25">
      <c r="A271" s="215" t="s">
        <v>157</v>
      </c>
      <c r="B271" s="218" t="s">
        <v>588</v>
      </c>
      <c r="C271" s="217" t="s">
        <v>145</v>
      </c>
      <c r="D271" s="217" t="s">
        <v>122</v>
      </c>
      <c r="E271" s="217"/>
      <c r="F271" s="217"/>
      <c r="G271" s="344">
        <f t="shared" si="26"/>
        <v>8247.3869299999969</v>
      </c>
      <c r="H271" s="344">
        <f t="shared" si="26"/>
        <v>8057.9157100000002</v>
      </c>
      <c r="I271" s="102">
        <f t="shared" si="23"/>
        <v>97.702651499097342</v>
      </c>
    </row>
    <row r="272" spans="1:14" ht="47.25" x14ac:dyDescent="0.25">
      <c r="A272" s="20" t="s">
        <v>479</v>
      </c>
      <c r="B272" s="218" t="s">
        <v>842</v>
      </c>
      <c r="C272" s="217" t="s">
        <v>145</v>
      </c>
      <c r="D272" s="217" t="s">
        <v>122</v>
      </c>
      <c r="E272" s="217"/>
      <c r="F272" s="217"/>
      <c r="G272" s="344">
        <f t="shared" si="26"/>
        <v>8247.3869299999969</v>
      </c>
      <c r="H272" s="344">
        <f t="shared" si="26"/>
        <v>8057.9157100000002</v>
      </c>
      <c r="I272" s="102">
        <f t="shared" si="23"/>
        <v>97.702651499097342</v>
      </c>
    </row>
    <row r="273" spans="1:14" ht="47.25" x14ac:dyDescent="0.25">
      <c r="A273" s="215" t="s">
        <v>149</v>
      </c>
      <c r="B273" s="218" t="s">
        <v>842</v>
      </c>
      <c r="C273" s="217" t="s">
        <v>145</v>
      </c>
      <c r="D273" s="217" t="s">
        <v>122</v>
      </c>
      <c r="E273" s="217" t="s">
        <v>150</v>
      </c>
      <c r="F273" s="217"/>
      <c r="G273" s="342">
        <f t="shared" si="26"/>
        <v>8247.3869299999969</v>
      </c>
      <c r="H273" s="565">
        <f t="shared" si="26"/>
        <v>8057.9157100000002</v>
      </c>
      <c r="I273" s="102">
        <f t="shared" ref="I273:I336" si="27">H273/G273*100</f>
        <v>97.702651499097342</v>
      </c>
    </row>
    <row r="274" spans="1:14" s="75" customFormat="1" ht="15.75" x14ac:dyDescent="0.25">
      <c r="A274" s="215" t="s">
        <v>151</v>
      </c>
      <c r="B274" s="218" t="s">
        <v>842</v>
      </c>
      <c r="C274" s="217" t="s">
        <v>145</v>
      </c>
      <c r="D274" s="217" t="s">
        <v>122</v>
      </c>
      <c r="E274" s="217" t="s">
        <v>152</v>
      </c>
      <c r="F274" s="217"/>
      <c r="G274" s="344">
        <f>'Пр.4 Ведом23'!G934</f>
        <v>8247.3869299999969</v>
      </c>
      <c r="H274" s="344">
        <f>'Пр.4 Ведом23'!H934</f>
        <v>8057.9157100000002</v>
      </c>
      <c r="I274" s="102">
        <f t="shared" si="27"/>
        <v>97.702651499097342</v>
      </c>
      <c r="J274" s="125"/>
      <c r="K274" s="125"/>
      <c r="L274" s="125"/>
      <c r="M274" s="125"/>
      <c r="N274" s="125"/>
    </row>
    <row r="275" spans="1:14" s="75" customFormat="1" ht="31.5" x14ac:dyDescent="0.25">
      <c r="A275" s="19" t="s">
        <v>878</v>
      </c>
      <c r="B275" s="218" t="s">
        <v>842</v>
      </c>
      <c r="C275" s="217" t="s">
        <v>145</v>
      </c>
      <c r="D275" s="217" t="s">
        <v>122</v>
      </c>
      <c r="E275" s="217" t="s">
        <v>152</v>
      </c>
      <c r="F275" s="217" t="s">
        <v>238</v>
      </c>
      <c r="G275" s="344">
        <f>G274</f>
        <v>8247.3869299999969</v>
      </c>
      <c r="H275" s="344">
        <f>H274</f>
        <v>8057.9157100000002</v>
      </c>
      <c r="I275" s="102">
        <f t="shared" si="27"/>
        <v>97.702651499097342</v>
      </c>
      <c r="J275" s="125"/>
      <c r="K275" s="125"/>
      <c r="L275" s="125"/>
      <c r="M275" s="125"/>
      <c r="N275" s="125"/>
    </row>
    <row r="276" spans="1:14" s="75" customFormat="1" ht="31.5" x14ac:dyDescent="0.25">
      <c r="A276" s="80" t="s">
        <v>381</v>
      </c>
      <c r="B276" s="117" t="s">
        <v>589</v>
      </c>
      <c r="C276" s="6"/>
      <c r="D276" s="6"/>
      <c r="E276" s="6"/>
      <c r="F276" s="6"/>
      <c r="G276" s="343">
        <f>G277</f>
        <v>7187.0628799999995</v>
      </c>
      <c r="H276" s="566">
        <f>H277</f>
        <v>6953.25803</v>
      </c>
      <c r="I276" s="221">
        <f t="shared" si="27"/>
        <v>96.74686511160732</v>
      </c>
      <c r="J276" s="125"/>
      <c r="K276" s="125"/>
      <c r="L276" s="125"/>
      <c r="M276" s="125"/>
      <c r="N276" s="125"/>
    </row>
    <row r="277" spans="1:14" s="75" customFormat="1" ht="15.75" x14ac:dyDescent="0.25">
      <c r="A277" s="19" t="s">
        <v>144</v>
      </c>
      <c r="B277" s="218" t="s">
        <v>589</v>
      </c>
      <c r="C277" s="217" t="s">
        <v>145</v>
      </c>
      <c r="D277" s="217"/>
      <c r="E277" s="217"/>
      <c r="F277" s="217"/>
      <c r="G277" s="342">
        <f>G278+G291+G300</f>
        <v>7187.0628799999995</v>
      </c>
      <c r="H277" s="565">
        <f>H278+H291+H300</f>
        <v>6953.25803</v>
      </c>
      <c r="I277" s="102">
        <f t="shared" si="27"/>
        <v>96.74686511160732</v>
      </c>
      <c r="J277" s="125"/>
      <c r="K277" s="125"/>
      <c r="L277" s="125"/>
      <c r="M277" s="125"/>
      <c r="N277" s="125"/>
    </row>
    <row r="278" spans="1:14" s="75" customFormat="1" ht="15.75" x14ac:dyDescent="0.25">
      <c r="A278" s="26" t="s">
        <v>188</v>
      </c>
      <c r="B278" s="218" t="s">
        <v>589</v>
      </c>
      <c r="C278" s="217" t="s">
        <v>145</v>
      </c>
      <c r="D278" s="217" t="s">
        <v>81</v>
      </c>
      <c r="E278" s="217"/>
      <c r="F278" s="217"/>
      <c r="G278" s="342">
        <f>G279+G283+G287</f>
        <v>2600.0997699999998</v>
      </c>
      <c r="H278" s="565">
        <f>H279+H283+H287</f>
        <v>2551.6911599999999</v>
      </c>
      <c r="I278" s="102">
        <f t="shared" si="27"/>
        <v>98.138201827539874</v>
      </c>
      <c r="J278" s="125"/>
      <c r="K278" s="125"/>
      <c r="L278" s="125"/>
      <c r="M278" s="125"/>
      <c r="N278" s="125"/>
    </row>
    <row r="279" spans="1:14" s="75" customFormat="1" ht="31.5" hidden="1" x14ac:dyDescent="0.25">
      <c r="A279" s="19" t="s">
        <v>155</v>
      </c>
      <c r="B279" s="218" t="s">
        <v>597</v>
      </c>
      <c r="C279" s="217" t="s">
        <v>145</v>
      </c>
      <c r="D279" s="217" t="s">
        <v>81</v>
      </c>
      <c r="E279" s="217"/>
      <c r="F279" s="217"/>
      <c r="G279" s="344">
        <f>G280</f>
        <v>94.49</v>
      </c>
      <c r="H279" s="344">
        <f>H280</f>
        <v>94.49</v>
      </c>
      <c r="I279" s="102">
        <f t="shared" si="27"/>
        <v>100</v>
      </c>
      <c r="J279" s="125"/>
      <c r="K279" s="125"/>
      <c r="L279" s="125"/>
      <c r="M279" s="125"/>
      <c r="N279" s="125"/>
    </row>
    <row r="280" spans="1:14" s="75" customFormat="1" ht="47.25" hidden="1" x14ac:dyDescent="0.25">
      <c r="A280" s="19" t="s">
        <v>149</v>
      </c>
      <c r="B280" s="218" t="s">
        <v>597</v>
      </c>
      <c r="C280" s="217" t="s">
        <v>145</v>
      </c>
      <c r="D280" s="217" t="s">
        <v>81</v>
      </c>
      <c r="E280" s="217" t="s">
        <v>150</v>
      </c>
      <c r="F280" s="217"/>
      <c r="G280" s="342">
        <f>G281</f>
        <v>94.49</v>
      </c>
      <c r="H280" s="565">
        <f>H281</f>
        <v>94.49</v>
      </c>
      <c r="I280" s="102">
        <f t="shared" si="27"/>
        <v>100</v>
      </c>
      <c r="J280" s="125"/>
      <c r="K280" s="125"/>
      <c r="L280" s="125"/>
      <c r="M280" s="125"/>
      <c r="N280" s="125"/>
    </row>
    <row r="281" spans="1:14" s="75" customFormat="1" ht="15.75" hidden="1" x14ac:dyDescent="0.25">
      <c r="A281" s="19" t="s">
        <v>151</v>
      </c>
      <c r="B281" s="218" t="s">
        <v>597</v>
      </c>
      <c r="C281" s="217" t="s">
        <v>145</v>
      </c>
      <c r="D281" s="217" t="s">
        <v>81</v>
      </c>
      <c r="E281" s="217" t="s">
        <v>152</v>
      </c>
      <c r="F281" s="217"/>
      <c r="G281" s="344">
        <f>'Пр.4 Ведом23'!G746</f>
        <v>94.49</v>
      </c>
      <c r="H281" s="344">
        <f>'Пр.4 Ведом23'!H746</f>
        <v>94.49</v>
      </c>
      <c r="I281" s="102">
        <f t="shared" si="27"/>
        <v>100</v>
      </c>
      <c r="J281" s="125"/>
      <c r="K281" s="125"/>
      <c r="L281" s="125"/>
      <c r="M281" s="125"/>
      <c r="N281" s="125"/>
    </row>
    <row r="282" spans="1:14" s="75" customFormat="1" ht="31.5" hidden="1" x14ac:dyDescent="0.25">
      <c r="A282" s="19" t="s">
        <v>878</v>
      </c>
      <c r="B282" s="218" t="s">
        <v>597</v>
      </c>
      <c r="C282" s="217" t="s">
        <v>145</v>
      </c>
      <c r="D282" s="217" t="s">
        <v>81</v>
      </c>
      <c r="E282" s="217" t="s">
        <v>152</v>
      </c>
      <c r="F282" s="217" t="s">
        <v>238</v>
      </c>
      <c r="G282" s="344">
        <f>G281</f>
        <v>94.49</v>
      </c>
      <c r="H282" s="344">
        <f>H281</f>
        <v>94.49</v>
      </c>
      <c r="I282" s="102">
        <f t="shared" si="27"/>
        <v>100</v>
      </c>
      <c r="J282" s="125"/>
      <c r="K282" s="125"/>
      <c r="L282" s="125"/>
      <c r="M282" s="125"/>
      <c r="N282" s="125"/>
    </row>
    <row r="283" spans="1:14" s="75" customFormat="1" ht="31.5" x14ac:dyDescent="0.25">
      <c r="A283" s="32" t="s">
        <v>261</v>
      </c>
      <c r="B283" s="218" t="s">
        <v>590</v>
      </c>
      <c r="C283" s="218" t="s">
        <v>145</v>
      </c>
      <c r="D283" s="218" t="s">
        <v>81</v>
      </c>
      <c r="E283" s="218"/>
      <c r="F283" s="218"/>
      <c r="G283" s="342">
        <f>G284</f>
        <v>2130.0617700000003</v>
      </c>
      <c r="H283" s="565">
        <f>H284</f>
        <v>2117.0628700000002</v>
      </c>
      <c r="I283" s="102">
        <f t="shared" si="27"/>
        <v>99.389740702214468</v>
      </c>
      <c r="J283" s="125"/>
      <c r="K283" s="125"/>
      <c r="L283" s="125"/>
      <c r="M283" s="125"/>
      <c r="N283" s="125"/>
    </row>
    <row r="284" spans="1:14" s="75" customFormat="1" ht="47.25" x14ac:dyDescent="0.25">
      <c r="A284" s="19" t="s">
        <v>149</v>
      </c>
      <c r="B284" s="218" t="s">
        <v>590</v>
      </c>
      <c r="C284" s="218" t="s">
        <v>145</v>
      </c>
      <c r="D284" s="218" t="s">
        <v>81</v>
      </c>
      <c r="E284" s="218" t="s">
        <v>150</v>
      </c>
      <c r="F284" s="218"/>
      <c r="G284" s="344">
        <f>G285</f>
        <v>2130.0617700000003</v>
      </c>
      <c r="H284" s="344">
        <f>H285</f>
        <v>2117.0628700000002</v>
      </c>
      <c r="I284" s="102">
        <f t="shared" si="27"/>
        <v>99.389740702214468</v>
      </c>
      <c r="J284" s="125"/>
      <c r="K284" s="125"/>
      <c r="L284" s="125"/>
      <c r="M284" s="125"/>
      <c r="N284" s="125"/>
    </row>
    <row r="285" spans="1:14" s="75" customFormat="1" ht="15.75" x14ac:dyDescent="0.25">
      <c r="A285" s="68" t="s">
        <v>151</v>
      </c>
      <c r="B285" s="218" t="s">
        <v>590</v>
      </c>
      <c r="C285" s="218" t="s">
        <v>145</v>
      </c>
      <c r="D285" s="218" t="s">
        <v>81</v>
      </c>
      <c r="E285" s="218" t="s">
        <v>152</v>
      </c>
      <c r="F285" s="218"/>
      <c r="G285" s="344">
        <f>'Пр.4 Ведом23'!G749</f>
        <v>2130.0617700000003</v>
      </c>
      <c r="H285" s="344">
        <f>'Пр.4 Ведом23'!H749</f>
        <v>2117.0628700000002</v>
      </c>
      <c r="I285" s="102">
        <f t="shared" si="27"/>
        <v>99.389740702214468</v>
      </c>
      <c r="J285" s="125"/>
      <c r="K285" s="125"/>
      <c r="L285" s="125"/>
      <c r="M285" s="125"/>
      <c r="N285" s="125"/>
    </row>
    <row r="286" spans="1:14" s="75" customFormat="1" ht="31.5" x14ac:dyDescent="0.25">
      <c r="A286" s="19" t="s">
        <v>878</v>
      </c>
      <c r="B286" s="218" t="s">
        <v>590</v>
      </c>
      <c r="C286" s="217" t="s">
        <v>145</v>
      </c>
      <c r="D286" s="217" t="s">
        <v>81</v>
      </c>
      <c r="E286" s="217" t="s">
        <v>152</v>
      </c>
      <c r="F286" s="217" t="s">
        <v>238</v>
      </c>
      <c r="G286" s="344">
        <f>G285</f>
        <v>2130.0617700000003</v>
      </c>
      <c r="H286" s="344">
        <f>H285</f>
        <v>2117.0628700000002</v>
      </c>
      <c r="I286" s="102">
        <f t="shared" si="27"/>
        <v>99.389740702214468</v>
      </c>
      <c r="J286" s="125"/>
      <c r="K286" s="125"/>
      <c r="L286" s="125"/>
      <c r="M286" s="125"/>
      <c r="N286" s="125"/>
    </row>
    <row r="287" spans="1:14" s="75" customFormat="1" ht="47.25" x14ac:dyDescent="0.25">
      <c r="A287" s="32" t="s">
        <v>262</v>
      </c>
      <c r="B287" s="218" t="s">
        <v>591</v>
      </c>
      <c r="C287" s="218" t="s">
        <v>145</v>
      </c>
      <c r="D287" s="218" t="s">
        <v>81</v>
      </c>
      <c r="E287" s="218"/>
      <c r="F287" s="218"/>
      <c r="G287" s="344">
        <f>G288</f>
        <v>375.548</v>
      </c>
      <c r="H287" s="344">
        <f>H288</f>
        <v>340.13828999999998</v>
      </c>
      <c r="I287" s="102">
        <f t="shared" si="27"/>
        <v>90.571189302033289</v>
      </c>
      <c r="J287" s="125"/>
      <c r="K287" s="125"/>
      <c r="L287" s="125"/>
      <c r="M287" s="125"/>
      <c r="N287" s="125"/>
    </row>
    <row r="288" spans="1:14" s="75" customFormat="1" ht="47.25" x14ac:dyDescent="0.25">
      <c r="A288" s="19" t="s">
        <v>149</v>
      </c>
      <c r="B288" s="218" t="s">
        <v>591</v>
      </c>
      <c r="C288" s="218" t="s">
        <v>145</v>
      </c>
      <c r="D288" s="218" t="s">
        <v>81</v>
      </c>
      <c r="E288" s="218" t="s">
        <v>150</v>
      </c>
      <c r="F288" s="218"/>
      <c r="G288" s="344">
        <f>G289</f>
        <v>375.548</v>
      </c>
      <c r="H288" s="344">
        <f>H289</f>
        <v>340.13828999999998</v>
      </c>
      <c r="I288" s="102">
        <f t="shared" si="27"/>
        <v>90.571189302033289</v>
      </c>
      <c r="J288" s="125"/>
      <c r="K288" s="125"/>
      <c r="L288" s="125"/>
      <c r="M288" s="125"/>
      <c r="N288" s="125"/>
    </row>
    <row r="289" spans="1:14" s="75" customFormat="1" ht="15.75" x14ac:dyDescent="0.25">
      <c r="A289" s="68" t="s">
        <v>151</v>
      </c>
      <c r="B289" s="218" t="s">
        <v>591</v>
      </c>
      <c r="C289" s="218" t="s">
        <v>145</v>
      </c>
      <c r="D289" s="218" t="s">
        <v>81</v>
      </c>
      <c r="E289" s="218" t="s">
        <v>152</v>
      </c>
      <c r="F289" s="218"/>
      <c r="G289" s="342">
        <f>'Пр.4 Ведом23'!G752</f>
        <v>375.548</v>
      </c>
      <c r="H289" s="565">
        <f>'Пр.4 Ведом23'!H752</f>
        <v>340.13828999999998</v>
      </c>
      <c r="I289" s="102">
        <f t="shared" si="27"/>
        <v>90.571189302033289</v>
      </c>
      <c r="J289" s="125"/>
      <c r="K289" s="125"/>
      <c r="L289" s="125"/>
      <c r="M289" s="125"/>
      <c r="N289" s="125"/>
    </row>
    <row r="290" spans="1:14" s="75" customFormat="1" ht="31.5" x14ac:dyDescent="0.25">
      <c r="A290" s="19" t="s">
        <v>878</v>
      </c>
      <c r="B290" s="218" t="s">
        <v>591</v>
      </c>
      <c r="C290" s="217" t="s">
        <v>145</v>
      </c>
      <c r="D290" s="217" t="s">
        <v>81</v>
      </c>
      <c r="E290" s="217" t="s">
        <v>152</v>
      </c>
      <c r="F290" s="217" t="s">
        <v>238</v>
      </c>
      <c r="G290" s="344">
        <f>G289</f>
        <v>375.548</v>
      </c>
      <c r="H290" s="344">
        <f>H289</f>
        <v>340.13828999999998</v>
      </c>
      <c r="I290" s="102">
        <f t="shared" si="27"/>
        <v>90.571189302033289</v>
      </c>
      <c r="J290" s="125"/>
      <c r="K290" s="125"/>
      <c r="L290" s="125"/>
      <c r="M290" s="125"/>
      <c r="N290" s="125"/>
    </row>
    <row r="291" spans="1:14" s="75" customFormat="1" ht="15.75" x14ac:dyDescent="0.25">
      <c r="A291" s="19" t="s">
        <v>190</v>
      </c>
      <c r="B291" s="217" t="s">
        <v>589</v>
      </c>
      <c r="C291" s="217" t="s">
        <v>145</v>
      </c>
      <c r="D291" s="217" t="s">
        <v>119</v>
      </c>
      <c r="E291" s="217"/>
      <c r="F291" s="217"/>
      <c r="G291" s="344">
        <f>G292+G296</f>
        <v>3599</v>
      </c>
      <c r="H291" s="344">
        <f>H292+H296</f>
        <v>3413.6575699999999</v>
      </c>
      <c r="I291" s="102">
        <f t="shared" si="27"/>
        <v>94.850168657960538</v>
      </c>
      <c r="J291" s="125"/>
      <c r="K291" s="125"/>
      <c r="L291" s="125"/>
      <c r="M291" s="125"/>
      <c r="N291" s="125"/>
    </row>
    <row r="292" spans="1:14" s="75" customFormat="1" ht="31.5" hidden="1" x14ac:dyDescent="0.25">
      <c r="A292" s="19" t="s">
        <v>155</v>
      </c>
      <c r="B292" s="218" t="s">
        <v>597</v>
      </c>
      <c r="C292" s="217" t="s">
        <v>145</v>
      </c>
      <c r="D292" s="217" t="s">
        <v>119</v>
      </c>
      <c r="E292" s="217"/>
      <c r="F292" s="217"/>
      <c r="G292" s="342">
        <f>G293</f>
        <v>0</v>
      </c>
      <c r="H292" s="565">
        <f>H293</f>
        <v>0</v>
      </c>
      <c r="I292" s="102" t="e">
        <f t="shared" si="27"/>
        <v>#DIV/0!</v>
      </c>
      <c r="J292" s="234"/>
      <c r="K292" s="125"/>
      <c r="L292" s="125"/>
      <c r="M292" s="125"/>
      <c r="N292" s="125"/>
    </row>
    <row r="293" spans="1:14" s="75" customFormat="1" ht="47.25" hidden="1" x14ac:dyDescent="0.25">
      <c r="A293" s="19" t="s">
        <v>149</v>
      </c>
      <c r="B293" s="218" t="s">
        <v>597</v>
      </c>
      <c r="C293" s="217" t="s">
        <v>145</v>
      </c>
      <c r="D293" s="217" t="s">
        <v>119</v>
      </c>
      <c r="E293" s="217" t="s">
        <v>150</v>
      </c>
      <c r="F293" s="217"/>
      <c r="G293" s="342">
        <f>G294</f>
        <v>0</v>
      </c>
      <c r="H293" s="565">
        <f>H294</f>
        <v>0</v>
      </c>
      <c r="I293" s="102" t="e">
        <f t="shared" si="27"/>
        <v>#DIV/0!</v>
      </c>
      <c r="J293" s="125"/>
      <c r="K293" s="125"/>
      <c r="L293" s="125"/>
      <c r="M293" s="125"/>
      <c r="N293" s="125"/>
    </row>
    <row r="294" spans="1:14" s="75" customFormat="1" ht="15.75" hidden="1" x14ac:dyDescent="0.25">
      <c r="A294" s="19" t="s">
        <v>151</v>
      </c>
      <c r="B294" s="218" t="s">
        <v>597</v>
      </c>
      <c r="C294" s="217" t="s">
        <v>145</v>
      </c>
      <c r="D294" s="217" t="s">
        <v>119</v>
      </c>
      <c r="E294" s="217" t="s">
        <v>152</v>
      </c>
      <c r="F294" s="217"/>
      <c r="G294" s="342">
        <f>'Пр.4 Ведом23'!G806</f>
        <v>0</v>
      </c>
      <c r="H294" s="565">
        <f>'Пр.4 Ведом23'!H806</f>
        <v>0</v>
      </c>
      <c r="I294" s="102" t="e">
        <f t="shared" si="27"/>
        <v>#DIV/0!</v>
      </c>
      <c r="J294" s="125"/>
      <c r="K294" s="125"/>
      <c r="L294" s="125"/>
      <c r="M294" s="125"/>
      <c r="N294" s="125"/>
    </row>
    <row r="295" spans="1:14" s="75" customFormat="1" ht="31.5" hidden="1" x14ac:dyDescent="0.25">
      <c r="A295" s="19" t="s">
        <v>878</v>
      </c>
      <c r="B295" s="218" t="s">
        <v>597</v>
      </c>
      <c r="C295" s="217" t="s">
        <v>145</v>
      </c>
      <c r="D295" s="217" t="s">
        <v>119</v>
      </c>
      <c r="E295" s="217" t="s">
        <v>152</v>
      </c>
      <c r="F295" s="217" t="s">
        <v>238</v>
      </c>
      <c r="G295" s="344">
        <f>G294</f>
        <v>0</v>
      </c>
      <c r="H295" s="344">
        <f>H294</f>
        <v>0</v>
      </c>
      <c r="I295" s="102" t="e">
        <f t="shared" si="27"/>
        <v>#DIV/0!</v>
      </c>
      <c r="J295" s="125"/>
      <c r="K295" s="125"/>
      <c r="L295" s="125"/>
      <c r="M295" s="125"/>
      <c r="N295" s="125"/>
    </row>
    <row r="296" spans="1:14" s="75" customFormat="1" ht="31.5" x14ac:dyDescent="0.25">
      <c r="A296" s="32" t="s">
        <v>261</v>
      </c>
      <c r="B296" s="218" t="s">
        <v>590</v>
      </c>
      <c r="C296" s="217" t="s">
        <v>145</v>
      </c>
      <c r="D296" s="217" t="s">
        <v>119</v>
      </c>
      <c r="E296" s="217"/>
      <c r="F296" s="217"/>
      <c r="G296" s="342">
        <f>G297</f>
        <v>3599</v>
      </c>
      <c r="H296" s="565">
        <f>H297</f>
        <v>3413.6575699999999</v>
      </c>
      <c r="I296" s="102">
        <f t="shared" si="27"/>
        <v>94.850168657960538</v>
      </c>
      <c r="J296" s="234"/>
      <c r="K296" s="125"/>
      <c r="L296" s="125"/>
      <c r="M296" s="125"/>
      <c r="N296" s="125"/>
    </row>
    <row r="297" spans="1:14" s="75" customFormat="1" ht="47.25" x14ac:dyDescent="0.25">
      <c r="A297" s="19" t="s">
        <v>149</v>
      </c>
      <c r="B297" s="218" t="s">
        <v>590</v>
      </c>
      <c r="C297" s="217" t="s">
        <v>145</v>
      </c>
      <c r="D297" s="217" t="s">
        <v>119</v>
      </c>
      <c r="E297" s="217" t="s">
        <v>150</v>
      </c>
      <c r="F297" s="217"/>
      <c r="G297" s="342">
        <f>G298</f>
        <v>3599</v>
      </c>
      <c r="H297" s="565">
        <f>H298</f>
        <v>3413.6575699999999</v>
      </c>
      <c r="I297" s="102">
        <f t="shared" si="27"/>
        <v>94.850168657960538</v>
      </c>
      <c r="J297" s="234"/>
      <c r="K297" s="125"/>
      <c r="L297" s="125"/>
      <c r="M297" s="125"/>
      <c r="N297" s="125"/>
    </row>
    <row r="298" spans="1:14" s="75" customFormat="1" ht="15.75" x14ac:dyDescent="0.25">
      <c r="A298" s="68" t="s">
        <v>151</v>
      </c>
      <c r="B298" s="218" t="s">
        <v>590</v>
      </c>
      <c r="C298" s="217" t="s">
        <v>145</v>
      </c>
      <c r="D298" s="217" t="s">
        <v>119</v>
      </c>
      <c r="E298" s="217" t="s">
        <v>152</v>
      </c>
      <c r="F298" s="217"/>
      <c r="G298" s="342">
        <f>'Пр.4 Ведом23'!G809</f>
        <v>3599</v>
      </c>
      <c r="H298" s="565">
        <f>'Пр.4 Ведом23'!H809</f>
        <v>3413.6575699999999</v>
      </c>
      <c r="I298" s="102">
        <f t="shared" si="27"/>
        <v>94.850168657960538</v>
      </c>
      <c r="J298" s="125"/>
      <c r="K298" s="125"/>
      <c r="L298" s="125"/>
      <c r="M298" s="125"/>
      <c r="N298" s="125"/>
    </row>
    <row r="299" spans="1:14" s="75" customFormat="1" ht="31.5" x14ac:dyDescent="0.25">
      <c r="A299" s="19" t="s">
        <v>878</v>
      </c>
      <c r="B299" s="218" t="s">
        <v>590</v>
      </c>
      <c r="C299" s="217" t="s">
        <v>145</v>
      </c>
      <c r="D299" s="217" t="s">
        <v>119</v>
      </c>
      <c r="E299" s="217" t="s">
        <v>152</v>
      </c>
      <c r="F299" s="217" t="s">
        <v>238</v>
      </c>
      <c r="G299" s="344">
        <f>G298</f>
        <v>3599</v>
      </c>
      <c r="H299" s="344">
        <f>H298</f>
        <v>3413.6575699999999</v>
      </c>
      <c r="I299" s="102">
        <f t="shared" si="27"/>
        <v>94.850168657960538</v>
      </c>
      <c r="J299" s="125"/>
      <c r="K299" s="125"/>
      <c r="L299" s="125"/>
      <c r="M299" s="125"/>
      <c r="N299" s="125"/>
    </row>
    <row r="300" spans="1:14" ht="15.75" x14ac:dyDescent="0.25">
      <c r="A300" s="19" t="s">
        <v>146</v>
      </c>
      <c r="B300" s="217" t="s">
        <v>589</v>
      </c>
      <c r="C300" s="217" t="s">
        <v>145</v>
      </c>
      <c r="D300" s="217" t="s">
        <v>120</v>
      </c>
      <c r="E300" s="217"/>
      <c r="F300" s="217"/>
      <c r="G300" s="344">
        <f>G305+G301</f>
        <v>987.96311000000003</v>
      </c>
      <c r="H300" s="344">
        <f>H305+H301</f>
        <v>987.90930000000003</v>
      </c>
      <c r="I300" s="102">
        <f t="shared" si="27"/>
        <v>99.994553440360747</v>
      </c>
    </row>
    <row r="301" spans="1:14" s="131" customFormat="1" ht="31.5" x14ac:dyDescent="0.25">
      <c r="A301" s="310" t="s">
        <v>276</v>
      </c>
      <c r="B301" s="218" t="s">
        <v>597</v>
      </c>
      <c r="C301" s="218" t="s">
        <v>145</v>
      </c>
      <c r="D301" s="218" t="s">
        <v>120</v>
      </c>
      <c r="E301" s="217"/>
      <c r="F301" s="217"/>
      <c r="G301" s="344">
        <f>G302</f>
        <v>26.5</v>
      </c>
      <c r="H301" s="344">
        <f>H302</f>
        <v>26.5</v>
      </c>
      <c r="I301" s="102">
        <f t="shared" si="27"/>
        <v>100</v>
      </c>
      <c r="J301" s="125"/>
      <c r="K301" s="125"/>
      <c r="L301" s="125"/>
      <c r="M301" s="125"/>
      <c r="N301" s="125"/>
    </row>
    <row r="302" spans="1:14" s="131" customFormat="1" ht="47.25" x14ac:dyDescent="0.25">
      <c r="A302" s="19" t="s">
        <v>149</v>
      </c>
      <c r="B302" s="218" t="s">
        <v>597</v>
      </c>
      <c r="C302" s="218" t="s">
        <v>145</v>
      </c>
      <c r="D302" s="218" t="s">
        <v>120</v>
      </c>
      <c r="E302" s="217" t="s">
        <v>150</v>
      </c>
      <c r="F302" s="217"/>
      <c r="G302" s="344">
        <f>G303</f>
        <v>26.5</v>
      </c>
      <c r="H302" s="344">
        <f>H303</f>
        <v>26.5</v>
      </c>
      <c r="I302" s="102">
        <f t="shared" si="27"/>
        <v>100</v>
      </c>
      <c r="J302" s="125"/>
      <c r="K302" s="125"/>
      <c r="L302" s="125"/>
      <c r="M302" s="125"/>
      <c r="N302" s="125"/>
    </row>
    <row r="303" spans="1:14" s="131" customFormat="1" ht="15.75" x14ac:dyDescent="0.25">
      <c r="A303" s="20" t="s">
        <v>151</v>
      </c>
      <c r="B303" s="218" t="s">
        <v>597</v>
      </c>
      <c r="C303" s="218" t="s">
        <v>145</v>
      </c>
      <c r="D303" s="218" t="s">
        <v>120</v>
      </c>
      <c r="E303" s="217" t="s">
        <v>152</v>
      </c>
      <c r="F303" s="217"/>
      <c r="G303" s="344">
        <f>'Пр.4 Ведом23'!G864</f>
        <v>26.5</v>
      </c>
      <c r="H303" s="344">
        <f>'Пр.4 Ведом23'!H864</f>
        <v>26.5</v>
      </c>
      <c r="I303" s="102">
        <f t="shared" si="27"/>
        <v>100</v>
      </c>
      <c r="J303" s="125"/>
      <c r="K303" s="125"/>
      <c r="L303" s="125"/>
      <c r="M303" s="125"/>
      <c r="N303" s="125"/>
    </row>
    <row r="304" spans="1:14" s="131" customFormat="1" ht="31.5" x14ac:dyDescent="0.25">
      <c r="A304" s="19" t="s">
        <v>878</v>
      </c>
      <c r="B304" s="218" t="s">
        <v>597</v>
      </c>
      <c r="C304" s="218" t="s">
        <v>145</v>
      </c>
      <c r="D304" s="218" t="s">
        <v>120</v>
      </c>
      <c r="E304" s="217" t="s">
        <v>152</v>
      </c>
      <c r="F304" s="217" t="s">
        <v>238</v>
      </c>
      <c r="G304" s="344">
        <f>G303</f>
        <v>26.5</v>
      </c>
      <c r="H304" s="344">
        <f>H303</f>
        <v>26.5</v>
      </c>
      <c r="I304" s="102">
        <f t="shared" si="27"/>
        <v>100</v>
      </c>
      <c r="J304" s="125"/>
      <c r="K304" s="125"/>
      <c r="L304" s="125"/>
      <c r="M304" s="125"/>
      <c r="N304" s="125"/>
    </row>
    <row r="305" spans="1:14" s="75" customFormat="1" ht="31.5" x14ac:dyDescent="0.25">
      <c r="A305" s="26" t="s">
        <v>261</v>
      </c>
      <c r="B305" s="218" t="s">
        <v>590</v>
      </c>
      <c r="C305" s="218" t="s">
        <v>145</v>
      </c>
      <c r="D305" s="218" t="s">
        <v>120</v>
      </c>
      <c r="E305" s="218"/>
      <c r="F305" s="218"/>
      <c r="G305" s="344">
        <f>G306</f>
        <v>961.46311000000003</v>
      </c>
      <c r="H305" s="344">
        <f>H306</f>
        <v>961.40930000000003</v>
      </c>
      <c r="I305" s="102">
        <f t="shared" si="27"/>
        <v>99.994403321412932</v>
      </c>
      <c r="J305" s="125"/>
      <c r="K305" s="125"/>
      <c r="L305" s="125"/>
      <c r="M305" s="125"/>
      <c r="N305" s="125"/>
    </row>
    <row r="306" spans="1:14" s="75" customFormat="1" ht="47.25" x14ac:dyDescent="0.25">
      <c r="A306" s="19" t="s">
        <v>149</v>
      </c>
      <c r="B306" s="218" t="s">
        <v>590</v>
      </c>
      <c r="C306" s="218" t="s">
        <v>145</v>
      </c>
      <c r="D306" s="218" t="s">
        <v>120</v>
      </c>
      <c r="E306" s="218" t="s">
        <v>150</v>
      </c>
      <c r="F306" s="218"/>
      <c r="G306" s="344">
        <f>G307</f>
        <v>961.46311000000003</v>
      </c>
      <c r="H306" s="344">
        <f>H307</f>
        <v>961.40930000000003</v>
      </c>
      <c r="I306" s="102">
        <f t="shared" si="27"/>
        <v>99.994403321412932</v>
      </c>
      <c r="J306" s="125"/>
      <c r="K306" s="125"/>
      <c r="L306" s="125"/>
      <c r="M306" s="125"/>
      <c r="N306" s="125"/>
    </row>
    <row r="307" spans="1:14" s="75" customFormat="1" ht="15.75" x14ac:dyDescent="0.25">
      <c r="A307" s="20" t="s">
        <v>151</v>
      </c>
      <c r="B307" s="218" t="s">
        <v>590</v>
      </c>
      <c r="C307" s="218" t="s">
        <v>145</v>
      </c>
      <c r="D307" s="218" t="s">
        <v>120</v>
      </c>
      <c r="E307" s="218" t="s">
        <v>152</v>
      </c>
      <c r="F307" s="218"/>
      <c r="G307" s="344">
        <f>'Пр.4 Ведом23'!G867</f>
        <v>961.46311000000003</v>
      </c>
      <c r="H307" s="344">
        <f>'Пр.4 Ведом23'!H867</f>
        <v>961.40930000000003</v>
      </c>
      <c r="I307" s="102">
        <f t="shared" si="27"/>
        <v>99.994403321412932</v>
      </c>
      <c r="J307" s="125"/>
      <c r="K307" s="125"/>
      <c r="L307" s="125"/>
      <c r="M307" s="125"/>
      <c r="N307" s="125"/>
    </row>
    <row r="308" spans="1:14" s="75" customFormat="1" ht="31.5" x14ac:dyDescent="0.25">
      <c r="A308" s="19" t="s">
        <v>878</v>
      </c>
      <c r="B308" s="218" t="s">
        <v>590</v>
      </c>
      <c r="C308" s="217" t="s">
        <v>145</v>
      </c>
      <c r="D308" s="217" t="s">
        <v>120</v>
      </c>
      <c r="E308" s="217" t="s">
        <v>152</v>
      </c>
      <c r="F308" s="217" t="s">
        <v>238</v>
      </c>
      <c r="G308" s="344">
        <f>G307</f>
        <v>961.46311000000003</v>
      </c>
      <c r="H308" s="344">
        <f>H307</f>
        <v>961.40930000000003</v>
      </c>
      <c r="I308" s="102">
        <f t="shared" si="27"/>
        <v>99.994403321412932</v>
      </c>
      <c r="J308" s="125"/>
      <c r="K308" s="125"/>
      <c r="L308" s="125"/>
      <c r="M308" s="125"/>
      <c r="N308" s="125"/>
    </row>
    <row r="309" spans="1:14" s="75" customFormat="1" ht="31.5" x14ac:dyDescent="0.25">
      <c r="A309" s="116" t="s">
        <v>737</v>
      </c>
      <c r="B309" s="117" t="s">
        <v>592</v>
      </c>
      <c r="C309" s="117"/>
      <c r="D309" s="117"/>
      <c r="E309" s="117"/>
      <c r="F309" s="117"/>
      <c r="G309" s="343">
        <f>G310</f>
        <v>5528.8143999999993</v>
      </c>
      <c r="H309" s="566">
        <f>H310</f>
        <v>5523.4852000000001</v>
      </c>
      <c r="I309" s="221">
        <f t="shared" si="27"/>
        <v>99.903610437709773</v>
      </c>
      <c r="J309" s="125"/>
      <c r="K309" s="125"/>
      <c r="L309" s="125"/>
      <c r="M309" s="125"/>
      <c r="N309" s="125"/>
    </row>
    <row r="310" spans="1:14" s="75" customFormat="1" ht="15.75" x14ac:dyDescent="0.25">
      <c r="A310" s="19" t="s">
        <v>144</v>
      </c>
      <c r="B310" s="218" t="s">
        <v>592</v>
      </c>
      <c r="C310" s="217" t="s">
        <v>145</v>
      </c>
      <c r="D310" s="217"/>
      <c r="E310" s="217"/>
      <c r="F310" s="217"/>
      <c r="G310" s="342">
        <f>G311+G316</f>
        <v>5528.8143999999993</v>
      </c>
      <c r="H310" s="565">
        <f>H311+H316</f>
        <v>5523.4852000000001</v>
      </c>
      <c r="I310" s="102">
        <f t="shared" si="27"/>
        <v>99.903610437709773</v>
      </c>
      <c r="J310" s="125"/>
      <c r="K310" s="125"/>
      <c r="L310" s="125"/>
      <c r="M310" s="125"/>
      <c r="N310" s="125"/>
    </row>
    <row r="311" spans="1:14" s="75" customFormat="1" ht="15.75" x14ac:dyDescent="0.25">
      <c r="A311" s="26" t="s">
        <v>188</v>
      </c>
      <c r="B311" s="218" t="s">
        <v>592</v>
      </c>
      <c r="C311" s="217" t="s">
        <v>145</v>
      </c>
      <c r="D311" s="217" t="s">
        <v>81</v>
      </c>
      <c r="E311" s="217"/>
      <c r="F311" s="217"/>
      <c r="G311" s="342">
        <f t="shared" ref="G311:H313" si="28">G312</f>
        <v>398.4</v>
      </c>
      <c r="H311" s="565">
        <f t="shared" si="28"/>
        <v>393.07080000000002</v>
      </c>
      <c r="I311" s="102">
        <f t="shared" si="27"/>
        <v>98.662349397590376</v>
      </c>
      <c r="J311" s="125"/>
      <c r="K311" s="125"/>
      <c r="L311" s="125"/>
      <c r="M311" s="125"/>
      <c r="N311" s="125"/>
    </row>
    <row r="312" spans="1:14" s="75" customFormat="1" ht="31.5" x14ac:dyDescent="0.25">
      <c r="A312" s="215" t="s">
        <v>738</v>
      </c>
      <c r="B312" s="218" t="s">
        <v>739</v>
      </c>
      <c r="C312" s="218" t="s">
        <v>145</v>
      </c>
      <c r="D312" s="218" t="s">
        <v>81</v>
      </c>
      <c r="E312" s="218"/>
      <c r="F312" s="218"/>
      <c r="G312" s="344">
        <f t="shared" si="28"/>
        <v>398.4</v>
      </c>
      <c r="H312" s="344">
        <f t="shared" si="28"/>
        <v>393.07080000000002</v>
      </c>
      <c r="I312" s="102">
        <f t="shared" si="27"/>
        <v>98.662349397590376</v>
      </c>
      <c r="J312" s="125"/>
      <c r="K312" s="125"/>
      <c r="L312" s="125"/>
      <c r="M312" s="125"/>
      <c r="N312" s="125"/>
    </row>
    <row r="313" spans="1:14" s="75" customFormat="1" ht="47.25" x14ac:dyDescent="0.25">
      <c r="A313" s="215" t="s">
        <v>149</v>
      </c>
      <c r="B313" s="218" t="s">
        <v>739</v>
      </c>
      <c r="C313" s="218" t="s">
        <v>145</v>
      </c>
      <c r="D313" s="218" t="s">
        <v>81</v>
      </c>
      <c r="E313" s="218" t="s">
        <v>150</v>
      </c>
      <c r="F313" s="218"/>
      <c r="G313" s="342">
        <f t="shared" si="28"/>
        <v>398.4</v>
      </c>
      <c r="H313" s="565">
        <f t="shared" si="28"/>
        <v>393.07080000000002</v>
      </c>
      <c r="I313" s="102">
        <f t="shared" si="27"/>
        <v>98.662349397590376</v>
      </c>
      <c r="J313" s="125"/>
      <c r="K313" s="125"/>
      <c r="L313" s="125"/>
      <c r="M313" s="125"/>
      <c r="N313" s="125"/>
    </row>
    <row r="314" spans="1:14" s="75" customFormat="1" ht="15.75" x14ac:dyDescent="0.25">
      <c r="A314" s="215" t="s">
        <v>151</v>
      </c>
      <c r="B314" s="218" t="s">
        <v>739</v>
      </c>
      <c r="C314" s="218" t="s">
        <v>145</v>
      </c>
      <c r="D314" s="218" t="s">
        <v>81</v>
      </c>
      <c r="E314" s="218" t="s">
        <v>152</v>
      </c>
      <c r="F314" s="218"/>
      <c r="G314" s="342">
        <f>'Пр.4 Ведом23'!G756</f>
        <v>398.4</v>
      </c>
      <c r="H314" s="565">
        <f>'Пр.4 Ведом23'!H756</f>
        <v>393.07080000000002</v>
      </c>
      <c r="I314" s="102">
        <f t="shared" si="27"/>
        <v>98.662349397590376</v>
      </c>
      <c r="J314" s="125"/>
      <c r="K314" s="125"/>
      <c r="L314" s="125"/>
      <c r="M314" s="125"/>
      <c r="N314" s="125"/>
    </row>
    <row r="315" spans="1:14" s="75" customFormat="1" ht="31.5" x14ac:dyDescent="0.25">
      <c r="A315" s="19" t="s">
        <v>878</v>
      </c>
      <c r="B315" s="218" t="s">
        <v>739</v>
      </c>
      <c r="C315" s="217" t="s">
        <v>145</v>
      </c>
      <c r="D315" s="217" t="s">
        <v>81</v>
      </c>
      <c r="E315" s="217" t="s">
        <v>152</v>
      </c>
      <c r="F315" s="217" t="s">
        <v>238</v>
      </c>
      <c r="G315" s="342">
        <f>G314</f>
        <v>398.4</v>
      </c>
      <c r="H315" s="565">
        <f>H314</f>
        <v>393.07080000000002</v>
      </c>
      <c r="I315" s="102">
        <f t="shared" si="27"/>
        <v>98.662349397590376</v>
      </c>
      <c r="J315" s="125"/>
      <c r="K315" s="125"/>
      <c r="L315" s="125"/>
      <c r="M315" s="125"/>
      <c r="N315" s="125"/>
    </row>
    <row r="316" spans="1:14" s="75" customFormat="1" ht="15.75" x14ac:dyDescent="0.25">
      <c r="A316" s="19" t="s">
        <v>190</v>
      </c>
      <c r="B316" s="218" t="s">
        <v>592</v>
      </c>
      <c r="C316" s="217" t="s">
        <v>145</v>
      </c>
      <c r="D316" s="217" t="s">
        <v>119</v>
      </c>
      <c r="E316" s="217"/>
      <c r="F316" s="217"/>
      <c r="G316" s="344">
        <f t="shared" ref="G316:H318" si="29">G317</f>
        <v>5130.4143999999997</v>
      </c>
      <c r="H316" s="344">
        <f t="shared" si="29"/>
        <v>5130.4143999999997</v>
      </c>
      <c r="I316" s="102">
        <f t="shared" si="27"/>
        <v>100</v>
      </c>
      <c r="J316" s="125"/>
      <c r="K316" s="125"/>
      <c r="L316" s="125"/>
      <c r="M316" s="125"/>
      <c r="N316" s="125"/>
    </row>
    <row r="317" spans="1:14" s="131" customFormat="1" ht="31.5" x14ac:dyDescent="0.25">
      <c r="A317" s="215" t="s">
        <v>738</v>
      </c>
      <c r="B317" s="218" t="s">
        <v>739</v>
      </c>
      <c r="C317" s="217" t="s">
        <v>145</v>
      </c>
      <c r="D317" s="217" t="s">
        <v>119</v>
      </c>
      <c r="E317" s="217"/>
      <c r="F317" s="217"/>
      <c r="G317" s="342">
        <f t="shared" si="29"/>
        <v>5130.4143999999997</v>
      </c>
      <c r="H317" s="565">
        <f t="shared" si="29"/>
        <v>5130.4143999999997</v>
      </c>
      <c r="I317" s="102">
        <f t="shared" si="27"/>
        <v>100</v>
      </c>
      <c r="J317" s="125"/>
      <c r="K317" s="125"/>
      <c r="L317" s="125"/>
      <c r="M317" s="125"/>
      <c r="N317" s="125"/>
    </row>
    <row r="318" spans="1:14" s="131" customFormat="1" ht="47.25" x14ac:dyDescent="0.25">
      <c r="A318" s="19" t="s">
        <v>149</v>
      </c>
      <c r="B318" s="218" t="s">
        <v>739</v>
      </c>
      <c r="C318" s="217" t="s">
        <v>145</v>
      </c>
      <c r="D318" s="217" t="s">
        <v>119</v>
      </c>
      <c r="E318" s="217" t="s">
        <v>150</v>
      </c>
      <c r="F318" s="217"/>
      <c r="G318" s="342">
        <f t="shared" si="29"/>
        <v>5130.4143999999997</v>
      </c>
      <c r="H318" s="565">
        <f t="shared" si="29"/>
        <v>5130.4143999999997</v>
      </c>
      <c r="I318" s="102">
        <f t="shared" si="27"/>
        <v>100</v>
      </c>
      <c r="J318" s="125"/>
      <c r="K318" s="125"/>
      <c r="L318" s="125"/>
      <c r="M318" s="125"/>
      <c r="N318" s="125"/>
    </row>
    <row r="319" spans="1:14" s="131" customFormat="1" ht="15.75" x14ac:dyDescent="0.25">
      <c r="A319" s="19" t="s">
        <v>151</v>
      </c>
      <c r="B319" s="218" t="s">
        <v>739</v>
      </c>
      <c r="C319" s="217" t="s">
        <v>145</v>
      </c>
      <c r="D319" s="217" t="s">
        <v>119</v>
      </c>
      <c r="E319" s="217" t="s">
        <v>152</v>
      </c>
      <c r="F319" s="217"/>
      <c r="G319" s="342">
        <f>'Пр.4 Ведом23'!G813</f>
        <v>5130.4143999999997</v>
      </c>
      <c r="H319" s="565">
        <f>'Пр.4 Ведом23'!H813</f>
        <v>5130.4143999999997</v>
      </c>
      <c r="I319" s="102">
        <f t="shared" si="27"/>
        <v>100</v>
      </c>
      <c r="J319" s="125"/>
      <c r="K319" s="125"/>
      <c r="L319" s="125"/>
      <c r="M319" s="125"/>
      <c r="N319" s="125"/>
    </row>
    <row r="320" spans="1:14" s="131" customFormat="1" ht="31.5" x14ac:dyDescent="0.25">
      <c r="A320" s="19" t="s">
        <v>878</v>
      </c>
      <c r="B320" s="218" t="s">
        <v>739</v>
      </c>
      <c r="C320" s="217" t="s">
        <v>145</v>
      </c>
      <c r="D320" s="217" t="s">
        <v>119</v>
      </c>
      <c r="E320" s="217" t="s">
        <v>152</v>
      </c>
      <c r="F320" s="217" t="s">
        <v>238</v>
      </c>
      <c r="G320" s="344">
        <f>G319</f>
        <v>5130.4143999999997</v>
      </c>
      <c r="H320" s="344">
        <f>H319</f>
        <v>5130.4143999999997</v>
      </c>
      <c r="I320" s="102">
        <f t="shared" si="27"/>
        <v>100</v>
      </c>
      <c r="J320" s="125"/>
      <c r="K320" s="125"/>
      <c r="L320" s="125"/>
      <c r="M320" s="125"/>
      <c r="N320" s="125"/>
    </row>
    <row r="321" spans="1:14" s="131" customFormat="1" ht="47.25" x14ac:dyDescent="0.25">
      <c r="A321" s="22" t="s">
        <v>727</v>
      </c>
      <c r="B321" s="117" t="s">
        <v>989</v>
      </c>
      <c r="C321" s="218"/>
      <c r="D321" s="218"/>
      <c r="E321" s="218"/>
      <c r="F321" s="217"/>
      <c r="G321" s="302">
        <f>G322</f>
        <v>404.3839999999999</v>
      </c>
      <c r="H321" s="567">
        <f>H322</f>
        <v>404.38351999999998</v>
      </c>
      <c r="I321" s="221">
        <f t="shared" si="27"/>
        <v>99.999881300941695</v>
      </c>
      <c r="J321" s="125"/>
      <c r="K321" s="125"/>
      <c r="L321" s="125"/>
      <c r="M321" s="125"/>
      <c r="N321" s="125"/>
    </row>
    <row r="322" spans="1:14" s="131" customFormat="1" ht="15.75" x14ac:dyDescent="0.25">
      <c r="A322" s="19" t="s">
        <v>144</v>
      </c>
      <c r="B322" s="218" t="s">
        <v>989</v>
      </c>
      <c r="C322" s="218" t="s">
        <v>145</v>
      </c>
      <c r="D322" s="218"/>
      <c r="E322" s="218"/>
      <c r="F322" s="217"/>
      <c r="G322" s="344">
        <f>G329+G323</f>
        <v>404.3839999999999</v>
      </c>
      <c r="H322" s="344">
        <f>H329+H323</f>
        <v>404.38351999999998</v>
      </c>
      <c r="I322" s="102">
        <f t="shared" si="27"/>
        <v>99.999881300941695</v>
      </c>
      <c r="J322" s="125"/>
      <c r="K322" s="125"/>
      <c r="L322" s="125"/>
      <c r="M322" s="125"/>
      <c r="N322" s="125"/>
    </row>
    <row r="323" spans="1:14" s="332" customFormat="1" ht="15.75" hidden="1" x14ac:dyDescent="0.25">
      <c r="A323" s="19" t="s">
        <v>146</v>
      </c>
      <c r="B323" s="334" t="s">
        <v>989</v>
      </c>
      <c r="C323" s="334" t="s">
        <v>145</v>
      </c>
      <c r="D323" s="334" t="s">
        <v>120</v>
      </c>
      <c r="E323" s="334"/>
      <c r="F323" s="217"/>
      <c r="G323" s="344">
        <f t="shared" ref="G323:H325" si="30">G324</f>
        <v>0</v>
      </c>
      <c r="H323" s="344">
        <f t="shared" si="30"/>
        <v>0</v>
      </c>
      <c r="I323" s="102" t="e">
        <f t="shared" si="27"/>
        <v>#DIV/0!</v>
      </c>
      <c r="J323" s="125"/>
      <c r="K323" s="125"/>
      <c r="L323" s="125"/>
      <c r="M323" s="125"/>
      <c r="N323" s="125"/>
    </row>
    <row r="324" spans="1:14" s="332" customFormat="1" ht="47.25" hidden="1" x14ac:dyDescent="0.25">
      <c r="A324" s="20" t="s">
        <v>740</v>
      </c>
      <c r="B324" s="334" t="s">
        <v>990</v>
      </c>
      <c r="C324" s="334" t="s">
        <v>145</v>
      </c>
      <c r="D324" s="334" t="s">
        <v>120</v>
      </c>
      <c r="E324" s="334"/>
      <c r="F324" s="217"/>
      <c r="G324" s="344">
        <f t="shared" si="30"/>
        <v>0</v>
      </c>
      <c r="H324" s="344">
        <f t="shared" si="30"/>
        <v>0</v>
      </c>
      <c r="I324" s="102" t="e">
        <f t="shared" si="27"/>
        <v>#DIV/0!</v>
      </c>
      <c r="J324" s="125"/>
      <c r="K324" s="125"/>
      <c r="L324" s="125"/>
      <c r="M324" s="125"/>
      <c r="N324" s="125"/>
    </row>
    <row r="325" spans="1:14" s="332" customFormat="1" ht="47.25" hidden="1" x14ac:dyDescent="0.25">
      <c r="A325" s="335" t="s">
        <v>149</v>
      </c>
      <c r="B325" s="334" t="s">
        <v>990</v>
      </c>
      <c r="C325" s="334" t="s">
        <v>145</v>
      </c>
      <c r="D325" s="334" t="s">
        <v>120</v>
      </c>
      <c r="E325" s="334" t="s">
        <v>150</v>
      </c>
      <c r="F325" s="217"/>
      <c r="G325" s="344">
        <f t="shared" si="30"/>
        <v>0</v>
      </c>
      <c r="H325" s="344">
        <f t="shared" si="30"/>
        <v>0</v>
      </c>
      <c r="I325" s="102" t="e">
        <f t="shared" si="27"/>
        <v>#DIV/0!</v>
      </c>
      <c r="J325" s="125"/>
      <c r="K325" s="125"/>
      <c r="L325" s="125"/>
      <c r="M325" s="125"/>
      <c r="N325" s="125"/>
    </row>
    <row r="326" spans="1:14" s="332" customFormat="1" ht="78.75" hidden="1" x14ac:dyDescent="0.25">
      <c r="A326" s="68" t="s">
        <v>1088</v>
      </c>
      <c r="B326" s="334" t="s">
        <v>990</v>
      </c>
      <c r="C326" s="334" t="s">
        <v>145</v>
      </c>
      <c r="D326" s="334" t="s">
        <v>120</v>
      </c>
      <c r="E326" s="334" t="s">
        <v>180</v>
      </c>
      <c r="F326" s="217"/>
      <c r="G326" s="344">
        <f>'Пр.4 Ведом23'!G871</f>
        <v>0</v>
      </c>
      <c r="H326" s="344">
        <f>'Пр.4 Ведом23'!H871</f>
        <v>0</v>
      </c>
      <c r="I326" s="102" t="e">
        <f t="shared" si="27"/>
        <v>#DIV/0!</v>
      </c>
      <c r="J326" s="125"/>
      <c r="K326" s="125"/>
      <c r="L326" s="125"/>
      <c r="M326" s="125"/>
      <c r="N326" s="125"/>
    </row>
    <row r="327" spans="1:14" s="332" customFormat="1" ht="25.5" hidden="1" customHeight="1" x14ac:dyDescent="0.25">
      <c r="A327" s="68" t="s">
        <v>1087</v>
      </c>
      <c r="B327" s="334" t="s">
        <v>990</v>
      </c>
      <c r="C327" s="334" t="s">
        <v>145</v>
      </c>
      <c r="D327" s="334" t="s">
        <v>120</v>
      </c>
      <c r="E327" s="334"/>
      <c r="F327" s="217"/>
      <c r="G327" s="344"/>
      <c r="H327" s="344"/>
      <c r="I327" s="102" t="e">
        <f t="shared" si="27"/>
        <v>#DIV/0!</v>
      </c>
      <c r="J327" s="125"/>
      <c r="K327" s="125"/>
      <c r="L327" s="125"/>
      <c r="M327" s="125"/>
      <c r="N327" s="125"/>
    </row>
    <row r="328" spans="1:14" s="332" customFormat="1" ht="31.5" hidden="1" x14ac:dyDescent="0.25">
      <c r="A328" s="68" t="s">
        <v>878</v>
      </c>
      <c r="B328" s="334" t="s">
        <v>990</v>
      </c>
      <c r="C328" s="334" t="s">
        <v>145</v>
      </c>
      <c r="D328" s="334" t="s">
        <v>120</v>
      </c>
      <c r="E328" s="334" t="s">
        <v>180</v>
      </c>
      <c r="F328" s="217" t="s">
        <v>238</v>
      </c>
      <c r="G328" s="344">
        <f>G326</f>
        <v>0</v>
      </c>
      <c r="H328" s="344">
        <f>H326</f>
        <v>0</v>
      </c>
      <c r="I328" s="102" t="e">
        <f t="shared" si="27"/>
        <v>#DIV/0!</v>
      </c>
      <c r="J328" s="125"/>
      <c r="K328" s="125"/>
      <c r="L328" s="125"/>
      <c r="M328" s="125"/>
      <c r="N328" s="125"/>
    </row>
    <row r="329" spans="1:14" s="131" customFormat="1" ht="15.75" x14ac:dyDescent="0.25">
      <c r="A329" s="215" t="s">
        <v>157</v>
      </c>
      <c r="B329" s="218" t="s">
        <v>989</v>
      </c>
      <c r="C329" s="218" t="s">
        <v>145</v>
      </c>
      <c r="D329" s="218" t="s">
        <v>122</v>
      </c>
      <c r="E329" s="218"/>
      <c r="F329" s="217"/>
      <c r="G329" s="344">
        <f>G330</f>
        <v>404.3839999999999</v>
      </c>
      <c r="H329" s="344">
        <f>H330</f>
        <v>404.38351999999998</v>
      </c>
      <c r="I329" s="102">
        <f t="shared" si="27"/>
        <v>99.999881300941695</v>
      </c>
      <c r="J329" s="125"/>
      <c r="K329" s="125"/>
      <c r="L329" s="125"/>
      <c r="M329" s="125"/>
      <c r="N329" s="125"/>
    </row>
    <row r="330" spans="1:14" s="131" customFormat="1" ht="47.25" x14ac:dyDescent="0.25">
      <c r="A330" s="20" t="s">
        <v>740</v>
      </c>
      <c r="B330" s="218" t="s">
        <v>990</v>
      </c>
      <c r="C330" s="218" t="s">
        <v>145</v>
      </c>
      <c r="D330" s="218" t="s">
        <v>122</v>
      </c>
      <c r="E330" s="218"/>
      <c r="F330" s="217"/>
      <c r="G330" s="344">
        <f>G331+G334</f>
        <v>404.3839999999999</v>
      </c>
      <c r="H330" s="344">
        <f>H331+H334</f>
        <v>404.38351999999998</v>
      </c>
      <c r="I330" s="102">
        <f t="shared" si="27"/>
        <v>99.999881300941695</v>
      </c>
      <c r="J330" s="125"/>
      <c r="K330" s="125"/>
      <c r="L330" s="125"/>
      <c r="M330" s="125"/>
      <c r="N330" s="125"/>
    </row>
    <row r="331" spans="1:14" s="131" customFormat="1" ht="47.25" x14ac:dyDescent="0.25">
      <c r="A331" s="215" t="s">
        <v>149</v>
      </c>
      <c r="B331" s="218" t="s">
        <v>990</v>
      </c>
      <c r="C331" s="218" t="s">
        <v>145</v>
      </c>
      <c r="D331" s="218" t="s">
        <v>122</v>
      </c>
      <c r="E331" s="218" t="s">
        <v>150</v>
      </c>
      <c r="F331" s="217"/>
      <c r="G331" s="344">
        <f>G332</f>
        <v>404.3839999999999</v>
      </c>
      <c r="H331" s="344">
        <f>H332</f>
        <v>404.38351999999998</v>
      </c>
      <c r="I331" s="102">
        <f t="shared" si="27"/>
        <v>99.999881300941695</v>
      </c>
      <c r="J331" s="125"/>
      <c r="K331" s="125"/>
      <c r="L331" s="125"/>
      <c r="M331" s="125"/>
      <c r="N331" s="125"/>
    </row>
    <row r="332" spans="1:14" s="131" customFormat="1" ht="31.5" x14ac:dyDescent="0.25">
      <c r="A332" s="70" t="s">
        <v>728</v>
      </c>
      <c r="B332" s="218" t="s">
        <v>990</v>
      </c>
      <c r="C332" s="218" t="s">
        <v>145</v>
      </c>
      <c r="D332" s="218" t="s">
        <v>122</v>
      </c>
      <c r="E332" s="218" t="s">
        <v>729</v>
      </c>
      <c r="F332" s="217"/>
      <c r="G332" s="344">
        <f>'Пр.4 Ведом23'!G938</f>
        <v>404.3839999999999</v>
      </c>
      <c r="H332" s="344">
        <f>'Пр.4 Ведом23'!H938</f>
        <v>404.38351999999998</v>
      </c>
      <c r="I332" s="102">
        <f t="shared" si="27"/>
        <v>99.999881300941695</v>
      </c>
      <c r="J332" s="125"/>
      <c r="K332" s="125"/>
      <c r="L332" s="125"/>
      <c r="M332" s="125"/>
      <c r="N332" s="125"/>
    </row>
    <row r="333" spans="1:14" s="131" customFormat="1" ht="31.5" x14ac:dyDescent="0.25">
      <c r="A333" s="68" t="s">
        <v>878</v>
      </c>
      <c r="B333" s="218" t="s">
        <v>990</v>
      </c>
      <c r="C333" s="218" t="s">
        <v>145</v>
      </c>
      <c r="D333" s="218" t="s">
        <v>122</v>
      </c>
      <c r="E333" s="218" t="s">
        <v>729</v>
      </c>
      <c r="F333" s="217" t="s">
        <v>238</v>
      </c>
      <c r="G333" s="344">
        <f>G332</f>
        <v>404.3839999999999</v>
      </c>
      <c r="H333" s="344">
        <f>H332</f>
        <v>404.38351999999998</v>
      </c>
      <c r="I333" s="102">
        <f t="shared" si="27"/>
        <v>99.999881300941695</v>
      </c>
      <c r="J333" s="125"/>
      <c r="K333" s="125"/>
      <c r="L333" s="125"/>
      <c r="M333" s="125"/>
      <c r="N333" s="125"/>
    </row>
    <row r="334" spans="1:14" s="332" customFormat="1" ht="78" hidden="1" customHeight="1" x14ac:dyDescent="0.25">
      <c r="A334" s="68" t="s">
        <v>1088</v>
      </c>
      <c r="B334" s="334" t="s">
        <v>990</v>
      </c>
      <c r="C334" s="334" t="s">
        <v>145</v>
      </c>
      <c r="D334" s="334" t="s">
        <v>122</v>
      </c>
      <c r="E334" s="334" t="s">
        <v>180</v>
      </c>
      <c r="F334" s="217"/>
      <c r="G334" s="9">
        <f>G335</f>
        <v>0</v>
      </c>
      <c r="H334" s="9">
        <f>H335</f>
        <v>0</v>
      </c>
      <c r="I334" s="102" t="e">
        <f t="shared" si="27"/>
        <v>#DIV/0!</v>
      </c>
      <c r="J334" s="125"/>
      <c r="K334" s="125"/>
      <c r="L334" s="125"/>
      <c r="M334" s="125"/>
      <c r="N334" s="125"/>
    </row>
    <row r="335" spans="1:14" s="332" customFormat="1" ht="39.75" hidden="1" customHeight="1" x14ac:dyDescent="0.25">
      <c r="A335" s="68" t="s">
        <v>1087</v>
      </c>
      <c r="B335" s="334" t="s">
        <v>990</v>
      </c>
      <c r="C335" s="334" t="s">
        <v>145</v>
      </c>
      <c r="D335" s="334" t="s">
        <v>122</v>
      </c>
      <c r="E335" s="334" t="s">
        <v>1089</v>
      </c>
      <c r="F335" s="217"/>
      <c r="G335" s="9">
        <f>'Пр.4 Ведом23'!G940</f>
        <v>0</v>
      </c>
      <c r="H335" s="9">
        <f>'Пр.4 Ведом23'!H940</f>
        <v>0</v>
      </c>
      <c r="I335" s="102" t="e">
        <f t="shared" si="27"/>
        <v>#DIV/0!</v>
      </c>
      <c r="J335" s="125"/>
      <c r="K335" s="125"/>
      <c r="L335" s="125"/>
      <c r="M335" s="125"/>
      <c r="N335" s="125"/>
    </row>
    <row r="336" spans="1:14" s="332" customFormat="1" ht="39" hidden="1" customHeight="1" x14ac:dyDescent="0.25">
      <c r="A336" s="68" t="s">
        <v>878</v>
      </c>
      <c r="B336" s="334" t="s">
        <v>990</v>
      </c>
      <c r="C336" s="334" t="s">
        <v>145</v>
      </c>
      <c r="D336" s="334" t="s">
        <v>122</v>
      </c>
      <c r="E336" s="334" t="s">
        <v>1089</v>
      </c>
      <c r="F336" s="217" t="s">
        <v>238</v>
      </c>
      <c r="G336" s="9">
        <f>G335</f>
        <v>0</v>
      </c>
      <c r="H336" s="9">
        <f>H335</f>
        <v>0</v>
      </c>
      <c r="I336" s="102" t="e">
        <f t="shared" si="27"/>
        <v>#DIV/0!</v>
      </c>
      <c r="J336" s="125"/>
      <c r="K336" s="125"/>
      <c r="L336" s="125"/>
      <c r="M336" s="125"/>
      <c r="N336" s="125"/>
    </row>
    <row r="337" spans="1:14" ht="94.5" x14ac:dyDescent="0.25">
      <c r="A337" s="116" t="s">
        <v>653</v>
      </c>
      <c r="B337" s="117" t="s">
        <v>991</v>
      </c>
      <c r="C337" s="117"/>
      <c r="D337" s="117"/>
      <c r="E337" s="217"/>
      <c r="F337" s="217"/>
      <c r="G337" s="343">
        <f t="shared" ref="G337:H341" si="31">G338</f>
        <v>705.08950000000004</v>
      </c>
      <c r="H337" s="566">
        <f t="shared" si="31"/>
        <v>704.22469999999998</v>
      </c>
      <c r="I337" s="221">
        <f t="shared" ref="I337:I400" si="32">H337/G337*100</f>
        <v>99.877348903933466</v>
      </c>
    </row>
    <row r="338" spans="1:14" s="75" customFormat="1" ht="15.75" x14ac:dyDescent="0.25">
      <c r="A338" s="19" t="s">
        <v>144</v>
      </c>
      <c r="B338" s="218" t="s">
        <v>991</v>
      </c>
      <c r="C338" s="218" t="s">
        <v>145</v>
      </c>
      <c r="D338" s="218"/>
      <c r="E338" s="217"/>
      <c r="F338" s="217"/>
      <c r="G338" s="342">
        <f t="shared" si="31"/>
        <v>705.08950000000004</v>
      </c>
      <c r="H338" s="565">
        <f t="shared" si="31"/>
        <v>704.22469999999998</v>
      </c>
      <c r="I338" s="102">
        <f t="shared" si="32"/>
        <v>99.877348903933466</v>
      </c>
      <c r="J338" s="125"/>
      <c r="K338" s="125"/>
      <c r="L338" s="125"/>
      <c r="M338" s="125"/>
      <c r="N338" s="125"/>
    </row>
    <row r="339" spans="1:14" s="75" customFormat="1" ht="15.75" x14ac:dyDescent="0.25">
      <c r="A339" s="26" t="s">
        <v>188</v>
      </c>
      <c r="B339" s="218" t="s">
        <v>991</v>
      </c>
      <c r="C339" s="218" t="s">
        <v>145</v>
      </c>
      <c r="D339" s="218" t="s">
        <v>81</v>
      </c>
      <c r="E339" s="217"/>
      <c r="F339" s="217"/>
      <c r="G339" s="342">
        <f t="shared" si="31"/>
        <v>705.08950000000004</v>
      </c>
      <c r="H339" s="565">
        <f t="shared" si="31"/>
        <v>704.22469999999998</v>
      </c>
      <c r="I339" s="102">
        <f t="shared" si="32"/>
        <v>99.877348903933466</v>
      </c>
      <c r="J339" s="125"/>
      <c r="K339" s="125"/>
      <c r="L339" s="125"/>
      <c r="M339" s="125"/>
      <c r="N339" s="125"/>
    </row>
    <row r="340" spans="1:14" s="75" customFormat="1" ht="94.5" x14ac:dyDescent="0.25">
      <c r="A340" s="63" t="s">
        <v>672</v>
      </c>
      <c r="B340" s="218" t="s">
        <v>992</v>
      </c>
      <c r="C340" s="218" t="s">
        <v>145</v>
      </c>
      <c r="D340" s="218" t="s">
        <v>81</v>
      </c>
      <c r="E340" s="217"/>
      <c r="F340" s="217"/>
      <c r="G340" s="342">
        <f t="shared" si="31"/>
        <v>705.08950000000004</v>
      </c>
      <c r="H340" s="565">
        <f t="shared" si="31"/>
        <v>704.22469999999998</v>
      </c>
      <c r="I340" s="102">
        <f t="shared" si="32"/>
        <v>99.877348903933466</v>
      </c>
      <c r="J340" s="125"/>
      <c r="K340" s="125"/>
      <c r="L340" s="125"/>
      <c r="M340" s="125"/>
      <c r="N340" s="125"/>
    </row>
    <row r="341" spans="1:14" s="75" customFormat="1" ht="47.25" x14ac:dyDescent="0.25">
      <c r="A341" s="215" t="s">
        <v>149</v>
      </c>
      <c r="B341" s="218" t="s">
        <v>992</v>
      </c>
      <c r="C341" s="218" t="s">
        <v>145</v>
      </c>
      <c r="D341" s="218" t="s">
        <v>81</v>
      </c>
      <c r="E341" s="218" t="s">
        <v>150</v>
      </c>
      <c r="F341" s="217"/>
      <c r="G341" s="344">
        <f t="shared" si="31"/>
        <v>705.08950000000004</v>
      </c>
      <c r="H341" s="344">
        <f t="shared" si="31"/>
        <v>704.22469999999998</v>
      </c>
      <c r="I341" s="102">
        <f t="shared" si="32"/>
        <v>99.877348903933466</v>
      </c>
      <c r="J341" s="125"/>
      <c r="K341" s="125"/>
      <c r="L341" s="125"/>
      <c r="M341" s="125"/>
      <c r="N341" s="125"/>
    </row>
    <row r="342" spans="1:14" s="75" customFormat="1" ht="15.75" x14ac:dyDescent="0.25">
      <c r="A342" s="215" t="s">
        <v>151</v>
      </c>
      <c r="B342" s="218" t="s">
        <v>992</v>
      </c>
      <c r="C342" s="218" t="s">
        <v>145</v>
      </c>
      <c r="D342" s="218" t="s">
        <v>81</v>
      </c>
      <c r="E342" s="218" t="s">
        <v>152</v>
      </c>
      <c r="F342" s="217"/>
      <c r="G342" s="342">
        <f>'Пр.4 Ведом23'!G760</f>
        <v>705.08950000000004</v>
      </c>
      <c r="H342" s="565">
        <f>'Пр.4 Ведом23'!H760</f>
        <v>704.22469999999998</v>
      </c>
      <c r="I342" s="102">
        <f t="shared" si="32"/>
        <v>99.877348903933466</v>
      </c>
      <c r="J342" s="125"/>
      <c r="K342" s="125"/>
      <c r="L342" s="125"/>
      <c r="M342" s="125"/>
      <c r="N342" s="125"/>
    </row>
    <row r="343" spans="1:14" s="75" customFormat="1" ht="31.5" x14ac:dyDescent="0.25">
      <c r="A343" s="19" t="s">
        <v>878</v>
      </c>
      <c r="B343" s="218" t="s">
        <v>992</v>
      </c>
      <c r="C343" s="218" t="s">
        <v>145</v>
      </c>
      <c r="D343" s="218" t="s">
        <v>81</v>
      </c>
      <c r="E343" s="218" t="s">
        <v>152</v>
      </c>
      <c r="F343" s="217" t="s">
        <v>238</v>
      </c>
      <c r="G343" s="342">
        <f>G342</f>
        <v>705.08950000000004</v>
      </c>
      <c r="H343" s="565">
        <f>H342</f>
        <v>704.22469999999998</v>
      </c>
      <c r="I343" s="102">
        <f t="shared" si="32"/>
        <v>99.877348903933466</v>
      </c>
      <c r="J343" s="125"/>
      <c r="K343" s="125"/>
      <c r="L343" s="125"/>
      <c r="M343" s="125"/>
      <c r="N343" s="125"/>
    </row>
    <row r="344" spans="1:14" s="75" customFormat="1" ht="31.5" x14ac:dyDescent="0.25">
      <c r="A344" s="95" t="s">
        <v>650</v>
      </c>
      <c r="B344" s="117" t="s">
        <v>993</v>
      </c>
      <c r="C344" s="117"/>
      <c r="D344" s="117"/>
      <c r="E344" s="117"/>
      <c r="F344" s="6"/>
      <c r="G344" s="343">
        <f t="shared" ref="G344:H348" si="33">G345</f>
        <v>5213.21</v>
      </c>
      <c r="H344" s="566">
        <f t="shared" si="33"/>
        <v>5213.1999800000003</v>
      </c>
      <c r="I344" s="221">
        <f t="shared" si="32"/>
        <v>99.999807795964486</v>
      </c>
      <c r="J344" s="125"/>
      <c r="K344" s="125"/>
      <c r="L344" s="125"/>
      <c r="M344" s="125"/>
      <c r="N344" s="125"/>
    </row>
    <row r="345" spans="1:14" s="75" customFormat="1" ht="15.75" x14ac:dyDescent="0.25">
      <c r="A345" s="68" t="s">
        <v>144</v>
      </c>
      <c r="B345" s="218" t="s">
        <v>993</v>
      </c>
      <c r="C345" s="218" t="s">
        <v>145</v>
      </c>
      <c r="D345" s="218"/>
      <c r="E345" s="218"/>
      <c r="F345" s="217"/>
      <c r="G345" s="344">
        <f t="shared" si="33"/>
        <v>5213.21</v>
      </c>
      <c r="H345" s="344">
        <f t="shared" si="33"/>
        <v>5213.1999800000003</v>
      </c>
      <c r="I345" s="102">
        <f t="shared" si="32"/>
        <v>99.999807795964486</v>
      </c>
      <c r="J345" s="125"/>
      <c r="K345" s="125"/>
      <c r="L345" s="125"/>
      <c r="M345" s="125"/>
      <c r="N345" s="125"/>
    </row>
    <row r="346" spans="1:14" s="75" customFormat="1" ht="15.75" x14ac:dyDescent="0.25">
      <c r="A346" s="68" t="s">
        <v>190</v>
      </c>
      <c r="B346" s="218" t="s">
        <v>993</v>
      </c>
      <c r="C346" s="218" t="s">
        <v>145</v>
      </c>
      <c r="D346" s="218" t="s">
        <v>119</v>
      </c>
      <c r="E346" s="218"/>
      <c r="F346" s="217"/>
      <c r="G346" s="344">
        <f t="shared" si="33"/>
        <v>5213.21</v>
      </c>
      <c r="H346" s="344">
        <f t="shared" si="33"/>
        <v>5213.1999800000003</v>
      </c>
      <c r="I346" s="102">
        <f t="shared" si="32"/>
        <v>99.999807795964486</v>
      </c>
      <c r="J346" s="125"/>
      <c r="K346" s="125"/>
      <c r="L346" s="125"/>
      <c r="M346" s="125"/>
      <c r="N346" s="125"/>
    </row>
    <row r="347" spans="1:14" ht="63" x14ac:dyDescent="0.25">
      <c r="A347" s="94" t="s">
        <v>646</v>
      </c>
      <c r="B347" s="218" t="s">
        <v>994</v>
      </c>
      <c r="C347" s="218" t="s">
        <v>145</v>
      </c>
      <c r="D347" s="218" t="s">
        <v>119</v>
      </c>
      <c r="E347" s="218"/>
      <c r="F347" s="217"/>
      <c r="G347" s="344">
        <f t="shared" si="33"/>
        <v>5213.21</v>
      </c>
      <c r="H347" s="344">
        <f t="shared" si="33"/>
        <v>5213.1999800000003</v>
      </c>
      <c r="I347" s="102">
        <f t="shared" si="32"/>
        <v>99.999807795964486</v>
      </c>
    </row>
    <row r="348" spans="1:14" ht="47.25" x14ac:dyDescent="0.25">
      <c r="A348" s="20" t="s">
        <v>149</v>
      </c>
      <c r="B348" s="218" t="s">
        <v>994</v>
      </c>
      <c r="C348" s="218" t="s">
        <v>145</v>
      </c>
      <c r="D348" s="218" t="s">
        <v>119</v>
      </c>
      <c r="E348" s="218" t="s">
        <v>150</v>
      </c>
      <c r="F348" s="217"/>
      <c r="G348" s="344">
        <f t="shared" si="33"/>
        <v>5213.21</v>
      </c>
      <c r="H348" s="344">
        <f t="shared" si="33"/>
        <v>5213.1999800000003</v>
      </c>
      <c r="I348" s="102">
        <f t="shared" si="32"/>
        <v>99.999807795964486</v>
      </c>
    </row>
    <row r="349" spans="1:14" ht="15.75" x14ac:dyDescent="0.25">
      <c r="A349" s="20" t="s">
        <v>151</v>
      </c>
      <c r="B349" s="218" t="s">
        <v>994</v>
      </c>
      <c r="C349" s="218" t="s">
        <v>145</v>
      </c>
      <c r="D349" s="218" t="s">
        <v>119</v>
      </c>
      <c r="E349" s="218" t="s">
        <v>152</v>
      </c>
      <c r="F349" s="217"/>
      <c r="G349" s="344">
        <f>'Пр.4 Ведом23'!G817</f>
        <v>5213.21</v>
      </c>
      <c r="H349" s="344">
        <f>'Пр.4 Ведом23'!H817</f>
        <v>5213.1999800000003</v>
      </c>
      <c r="I349" s="102">
        <f t="shared" si="32"/>
        <v>99.999807795964486</v>
      </c>
    </row>
    <row r="350" spans="1:14" ht="31.5" x14ac:dyDescent="0.25">
      <c r="A350" s="68" t="s">
        <v>878</v>
      </c>
      <c r="B350" s="218" t="s">
        <v>994</v>
      </c>
      <c r="C350" s="218" t="s">
        <v>145</v>
      </c>
      <c r="D350" s="218" t="s">
        <v>119</v>
      </c>
      <c r="E350" s="218" t="s">
        <v>152</v>
      </c>
      <c r="F350" s="217" t="s">
        <v>238</v>
      </c>
      <c r="G350" s="344">
        <f>G349</f>
        <v>5213.21</v>
      </c>
      <c r="H350" s="344">
        <f>H349</f>
        <v>5213.1999800000003</v>
      </c>
      <c r="I350" s="102">
        <f t="shared" si="32"/>
        <v>99.999807795964486</v>
      </c>
    </row>
    <row r="351" spans="1:14" ht="31.5" x14ac:dyDescent="0.25">
      <c r="A351" s="22" t="s">
        <v>667</v>
      </c>
      <c r="B351" s="117" t="s">
        <v>666</v>
      </c>
      <c r="C351" s="217"/>
      <c r="D351" s="217"/>
      <c r="E351" s="217"/>
      <c r="F351" s="217"/>
      <c r="G351" s="302">
        <f t="shared" ref="G351:H355" si="34">G352</f>
        <v>1679.51</v>
      </c>
      <c r="H351" s="567">
        <f t="shared" si="34"/>
        <v>1623.2393199999999</v>
      </c>
      <c r="I351" s="221">
        <f t="shared" si="32"/>
        <v>96.649577555358405</v>
      </c>
    </row>
    <row r="352" spans="1:14" ht="15.75" x14ac:dyDescent="0.25">
      <c r="A352" s="19" t="s">
        <v>144</v>
      </c>
      <c r="B352" s="218" t="s">
        <v>666</v>
      </c>
      <c r="C352" s="217" t="s">
        <v>145</v>
      </c>
      <c r="D352" s="217"/>
      <c r="E352" s="217"/>
      <c r="F352" s="217"/>
      <c r="G352" s="344">
        <f t="shared" si="34"/>
        <v>1679.51</v>
      </c>
      <c r="H352" s="344">
        <f t="shared" si="34"/>
        <v>1623.2393199999999</v>
      </c>
      <c r="I352" s="102">
        <f t="shared" si="32"/>
        <v>96.649577555358405</v>
      </c>
    </row>
    <row r="353" spans="1:14" s="75" customFormat="1" ht="15.75" x14ac:dyDescent="0.25">
      <c r="A353" s="19" t="s">
        <v>190</v>
      </c>
      <c r="B353" s="218" t="s">
        <v>666</v>
      </c>
      <c r="C353" s="217" t="s">
        <v>145</v>
      </c>
      <c r="D353" s="217" t="s">
        <v>119</v>
      </c>
      <c r="E353" s="217"/>
      <c r="F353" s="217"/>
      <c r="G353" s="344">
        <f t="shared" si="34"/>
        <v>1679.51</v>
      </c>
      <c r="H353" s="344">
        <f t="shared" si="34"/>
        <v>1623.2393199999999</v>
      </c>
      <c r="I353" s="102">
        <f t="shared" si="32"/>
        <v>96.649577555358405</v>
      </c>
      <c r="J353" s="125"/>
      <c r="K353" s="125"/>
      <c r="L353" s="125"/>
      <c r="M353" s="125"/>
      <c r="N353" s="125"/>
    </row>
    <row r="354" spans="1:14" ht="63" x14ac:dyDescent="0.25">
      <c r="A354" s="20" t="s">
        <v>1016</v>
      </c>
      <c r="B354" s="218" t="s">
        <v>1015</v>
      </c>
      <c r="C354" s="217" t="s">
        <v>145</v>
      </c>
      <c r="D354" s="217" t="s">
        <v>119</v>
      </c>
      <c r="E354" s="217"/>
      <c r="F354" s="217"/>
      <c r="G354" s="344">
        <f t="shared" si="34"/>
        <v>1679.51</v>
      </c>
      <c r="H354" s="344">
        <f t="shared" si="34"/>
        <v>1623.2393199999999</v>
      </c>
      <c r="I354" s="102">
        <f t="shared" si="32"/>
        <v>96.649577555358405</v>
      </c>
    </row>
    <row r="355" spans="1:14" ht="47.25" x14ac:dyDescent="0.25">
      <c r="A355" s="20" t="s">
        <v>149</v>
      </c>
      <c r="B355" s="218" t="s">
        <v>1015</v>
      </c>
      <c r="C355" s="217" t="s">
        <v>145</v>
      </c>
      <c r="D355" s="217" t="s">
        <v>119</v>
      </c>
      <c r="E355" s="217" t="s">
        <v>150</v>
      </c>
      <c r="F355" s="217"/>
      <c r="G355" s="344">
        <f t="shared" si="34"/>
        <v>1679.51</v>
      </c>
      <c r="H355" s="344">
        <f t="shared" si="34"/>
        <v>1623.2393199999999</v>
      </c>
      <c r="I355" s="102">
        <f t="shared" si="32"/>
        <v>96.649577555358405</v>
      </c>
    </row>
    <row r="356" spans="1:14" s="131" customFormat="1" ht="15.75" x14ac:dyDescent="0.25">
      <c r="A356" s="20" t="s">
        <v>151</v>
      </c>
      <c r="B356" s="218" t="s">
        <v>1015</v>
      </c>
      <c r="C356" s="217" t="s">
        <v>145</v>
      </c>
      <c r="D356" s="217" t="s">
        <v>119</v>
      </c>
      <c r="E356" s="217" t="s">
        <v>152</v>
      </c>
      <c r="F356" s="217"/>
      <c r="G356" s="344">
        <f>'Пр.4 Ведом23'!G829</f>
        <v>1679.51</v>
      </c>
      <c r="H356" s="344">
        <f>'Пр.4 Ведом23'!H829</f>
        <v>1623.2393199999999</v>
      </c>
      <c r="I356" s="102">
        <f t="shared" si="32"/>
        <v>96.649577555358405</v>
      </c>
      <c r="J356" s="125"/>
      <c r="K356" s="125"/>
      <c r="L356" s="125"/>
      <c r="M356" s="125"/>
      <c r="N356" s="125"/>
    </row>
    <row r="357" spans="1:14" ht="31.5" x14ac:dyDescent="0.25">
      <c r="A357" s="19" t="s">
        <v>878</v>
      </c>
      <c r="B357" s="218" t="s">
        <v>1015</v>
      </c>
      <c r="C357" s="217" t="s">
        <v>145</v>
      </c>
      <c r="D357" s="217" t="s">
        <v>119</v>
      </c>
      <c r="E357" s="217" t="s">
        <v>152</v>
      </c>
      <c r="F357" s="217" t="s">
        <v>238</v>
      </c>
      <c r="G357" s="344">
        <f>G356</f>
        <v>1679.51</v>
      </c>
      <c r="H357" s="344">
        <f>H356</f>
        <v>1623.2393199999999</v>
      </c>
      <c r="I357" s="102">
        <f t="shared" si="32"/>
        <v>96.649577555358405</v>
      </c>
    </row>
    <row r="358" spans="1:14" s="131" customFormat="1" ht="78" customHeight="1" x14ac:dyDescent="0.25">
      <c r="A358" s="22" t="s">
        <v>1052</v>
      </c>
      <c r="B358" s="117" t="s">
        <v>1050</v>
      </c>
      <c r="C358" s="217"/>
      <c r="D358" s="217"/>
      <c r="E358" s="217"/>
      <c r="F358" s="217"/>
      <c r="G358" s="302">
        <f t="shared" ref="G358:H362" si="35">G359</f>
        <v>131.60299999999998</v>
      </c>
      <c r="H358" s="567">
        <f t="shared" si="35"/>
        <v>131.50836000000001</v>
      </c>
      <c r="I358" s="221">
        <f t="shared" si="32"/>
        <v>99.928086745742903</v>
      </c>
      <c r="J358" s="125"/>
      <c r="K358" s="125"/>
      <c r="L358" s="125"/>
      <c r="M358" s="125"/>
      <c r="N358" s="125"/>
    </row>
    <row r="359" spans="1:14" s="131" customFormat="1" ht="15.75" x14ac:dyDescent="0.25">
      <c r="A359" s="19" t="s">
        <v>144</v>
      </c>
      <c r="B359" s="218" t="s">
        <v>1050</v>
      </c>
      <c r="C359" s="217" t="s">
        <v>145</v>
      </c>
      <c r="D359" s="217"/>
      <c r="E359" s="217"/>
      <c r="F359" s="217"/>
      <c r="G359" s="344">
        <f t="shared" si="35"/>
        <v>131.60299999999998</v>
      </c>
      <c r="H359" s="344">
        <f t="shared" si="35"/>
        <v>131.50836000000001</v>
      </c>
      <c r="I359" s="102">
        <f t="shared" si="32"/>
        <v>99.928086745742903</v>
      </c>
      <c r="J359" s="125"/>
      <c r="K359" s="125"/>
      <c r="L359" s="125"/>
      <c r="M359" s="125"/>
      <c r="N359" s="125"/>
    </row>
    <row r="360" spans="1:14" s="131" customFormat="1" ht="15.75" x14ac:dyDescent="0.25">
      <c r="A360" s="19" t="s">
        <v>190</v>
      </c>
      <c r="B360" s="218" t="s">
        <v>1050</v>
      </c>
      <c r="C360" s="217" t="s">
        <v>145</v>
      </c>
      <c r="D360" s="217" t="s">
        <v>119</v>
      </c>
      <c r="E360" s="217"/>
      <c r="F360" s="217"/>
      <c r="G360" s="344">
        <f t="shared" si="35"/>
        <v>131.60299999999998</v>
      </c>
      <c r="H360" s="344">
        <f t="shared" si="35"/>
        <v>131.50836000000001</v>
      </c>
      <c r="I360" s="102">
        <f t="shared" si="32"/>
        <v>99.928086745742903</v>
      </c>
      <c r="J360" s="125"/>
      <c r="K360" s="125"/>
      <c r="L360" s="125"/>
      <c r="M360" s="125"/>
      <c r="N360" s="125"/>
    </row>
    <row r="361" spans="1:14" s="131" customFormat="1" ht="78.75" x14ac:dyDescent="0.25">
      <c r="A361" s="215" t="s">
        <v>1017</v>
      </c>
      <c r="B361" s="218" t="s">
        <v>1051</v>
      </c>
      <c r="C361" s="217" t="s">
        <v>145</v>
      </c>
      <c r="D361" s="217" t="s">
        <v>119</v>
      </c>
      <c r="E361" s="217"/>
      <c r="F361" s="217"/>
      <c r="G361" s="344">
        <f t="shared" si="35"/>
        <v>131.60299999999998</v>
      </c>
      <c r="H361" s="344">
        <f t="shared" si="35"/>
        <v>131.50836000000001</v>
      </c>
      <c r="I361" s="102">
        <f t="shared" si="32"/>
        <v>99.928086745742903</v>
      </c>
      <c r="J361" s="125"/>
      <c r="K361" s="125"/>
      <c r="L361" s="125"/>
      <c r="M361" s="125"/>
      <c r="N361" s="125"/>
    </row>
    <row r="362" spans="1:14" s="131" customFormat="1" ht="47.25" x14ac:dyDescent="0.25">
      <c r="A362" s="215" t="s">
        <v>149</v>
      </c>
      <c r="B362" s="218" t="s">
        <v>1051</v>
      </c>
      <c r="C362" s="217" t="s">
        <v>145</v>
      </c>
      <c r="D362" s="217" t="s">
        <v>119</v>
      </c>
      <c r="E362" s="217" t="s">
        <v>150</v>
      </c>
      <c r="F362" s="217"/>
      <c r="G362" s="344">
        <f t="shared" si="35"/>
        <v>131.60299999999998</v>
      </c>
      <c r="H362" s="344">
        <f t="shared" si="35"/>
        <v>131.50836000000001</v>
      </c>
      <c r="I362" s="102">
        <f t="shared" si="32"/>
        <v>99.928086745742903</v>
      </c>
      <c r="J362" s="125"/>
      <c r="K362" s="125"/>
      <c r="L362" s="125"/>
      <c r="M362" s="125"/>
      <c r="N362" s="125"/>
    </row>
    <row r="363" spans="1:14" s="131" customFormat="1" ht="15.75" x14ac:dyDescent="0.25">
      <c r="A363" s="215" t="s">
        <v>151</v>
      </c>
      <c r="B363" s="218" t="s">
        <v>1051</v>
      </c>
      <c r="C363" s="217" t="s">
        <v>145</v>
      </c>
      <c r="D363" s="217" t="s">
        <v>119</v>
      </c>
      <c r="E363" s="217" t="s">
        <v>152</v>
      </c>
      <c r="F363" s="217"/>
      <c r="G363" s="344">
        <f>'Пр.4 Ведом23'!G833</f>
        <v>131.60299999999998</v>
      </c>
      <c r="H363" s="344">
        <f>'Пр.4 Ведом23'!H833</f>
        <v>131.50836000000001</v>
      </c>
      <c r="I363" s="102">
        <f t="shared" si="32"/>
        <v>99.928086745742903</v>
      </c>
      <c r="J363" s="125"/>
      <c r="K363" s="125"/>
      <c r="L363" s="125"/>
      <c r="M363" s="125"/>
      <c r="N363" s="125"/>
    </row>
    <row r="364" spans="1:14" s="131" customFormat="1" ht="31.5" x14ac:dyDescent="0.25">
      <c r="A364" s="19" t="s">
        <v>878</v>
      </c>
      <c r="B364" s="218" t="s">
        <v>1051</v>
      </c>
      <c r="C364" s="217" t="s">
        <v>145</v>
      </c>
      <c r="D364" s="217" t="s">
        <v>119</v>
      </c>
      <c r="E364" s="217" t="s">
        <v>152</v>
      </c>
      <c r="F364" s="217" t="s">
        <v>238</v>
      </c>
      <c r="G364" s="344">
        <f>G363</f>
        <v>131.60299999999998</v>
      </c>
      <c r="H364" s="344">
        <f>H363</f>
        <v>131.50836000000001</v>
      </c>
      <c r="I364" s="102">
        <f t="shared" si="32"/>
        <v>99.928086745742903</v>
      </c>
      <c r="J364" s="125"/>
      <c r="K364" s="125"/>
      <c r="L364" s="125"/>
      <c r="M364" s="125"/>
      <c r="N364" s="125"/>
    </row>
    <row r="365" spans="1:14" s="75" customFormat="1" ht="47.25" x14ac:dyDescent="0.25">
      <c r="A365" s="116" t="s">
        <v>886</v>
      </c>
      <c r="B365" s="117" t="s">
        <v>104</v>
      </c>
      <c r="C365" s="217"/>
      <c r="D365" s="217"/>
      <c r="E365" s="217"/>
      <c r="F365" s="217"/>
      <c r="G365" s="302">
        <f t="shared" ref="G365:H370" si="36">G366</f>
        <v>1279</v>
      </c>
      <c r="H365" s="567">
        <f t="shared" si="36"/>
        <v>1279</v>
      </c>
      <c r="I365" s="221">
        <f t="shared" si="32"/>
        <v>100</v>
      </c>
      <c r="J365" s="125"/>
      <c r="K365" s="125"/>
      <c r="L365" s="125"/>
      <c r="M365" s="125"/>
      <c r="N365" s="125"/>
    </row>
    <row r="366" spans="1:14" s="75" customFormat="1" ht="47.25" x14ac:dyDescent="0.25">
      <c r="A366" s="116" t="s">
        <v>483</v>
      </c>
      <c r="B366" s="117" t="s">
        <v>481</v>
      </c>
      <c r="C366" s="217"/>
      <c r="D366" s="217"/>
      <c r="E366" s="217"/>
      <c r="F366" s="217"/>
      <c r="G366" s="302">
        <f t="shared" si="36"/>
        <v>1279</v>
      </c>
      <c r="H366" s="567">
        <f t="shared" si="36"/>
        <v>1279</v>
      </c>
      <c r="I366" s="221">
        <f t="shared" si="32"/>
        <v>100</v>
      </c>
      <c r="J366" s="125"/>
      <c r="K366" s="125"/>
      <c r="L366" s="125"/>
      <c r="M366" s="125"/>
      <c r="N366" s="125"/>
    </row>
    <row r="367" spans="1:14" s="131" customFormat="1" ht="15.75" x14ac:dyDescent="0.25">
      <c r="A367" s="215" t="s">
        <v>127</v>
      </c>
      <c r="B367" s="218" t="s">
        <v>481</v>
      </c>
      <c r="C367" s="217" t="s">
        <v>103</v>
      </c>
      <c r="D367" s="217"/>
      <c r="E367" s="217"/>
      <c r="F367" s="217"/>
      <c r="G367" s="344">
        <f t="shared" si="36"/>
        <v>1279</v>
      </c>
      <c r="H367" s="344">
        <f t="shared" si="36"/>
        <v>1279</v>
      </c>
      <c r="I367" s="102">
        <f t="shared" si="32"/>
        <v>100</v>
      </c>
      <c r="J367" s="125"/>
      <c r="K367" s="125"/>
      <c r="L367" s="125"/>
      <c r="M367" s="125"/>
      <c r="N367" s="125"/>
    </row>
    <row r="368" spans="1:14" s="131" customFormat="1" ht="31.5" x14ac:dyDescent="0.25">
      <c r="A368" s="215" t="s">
        <v>131</v>
      </c>
      <c r="B368" s="218" t="s">
        <v>481</v>
      </c>
      <c r="C368" s="217" t="s">
        <v>103</v>
      </c>
      <c r="D368" s="217" t="s">
        <v>132</v>
      </c>
      <c r="E368" s="217"/>
      <c r="F368" s="217"/>
      <c r="G368" s="344">
        <f t="shared" si="36"/>
        <v>1279</v>
      </c>
      <c r="H368" s="344">
        <f t="shared" si="36"/>
        <v>1279</v>
      </c>
      <c r="I368" s="102">
        <f t="shared" si="32"/>
        <v>100</v>
      </c>
      <c r="J368" s="125"/>
      <c r="K368" s="125"/>
      <c r="L368" s="125"/>
      <c r="M368" s="125"/>
      <c r="N368" s="125"/>
    </row>
    <row r="369" spans="1:14" s="75" customFormat="1" ht="31.5" x14ac:dyDescent="0.25">
      <c r="A369" s="215" t="s">
        <v>484</v>
      </c>
      <c r="B369" s="218" t="s">
        <v>482</v>
      </c>
      <c r="C369" s="217" t="s">
        <v>103</v>
      </c>
      <c r="D369" s="217" t="s">
        <v>132</v>
      </c>
      <c r="E369" s="217"/>
      <c r="F369" s="217"/>
      <c r="G369" s="344">
        <f t="shared" si="36"/>
        <v>1279</v>
      </c>
      <c r="H369" s="344">
        <f t="shared" si="36"/>
        <v>1279</v>
      </c>
      <c r="I369" s="102">
        <f t="shared" si="32"/>
        <v>100</v>
      </c>
      <c r="J369" s="125"/>
      <c r="K369" s="125"/>
      <c r="L369" s="125"/>
      <c r="M369" s="125"/>
      <c r="N369" s="125"/>
    </row>
    <row r="370" spans="1:14" s="75" customFormat="1" ht="15.75" x14ac:dyDescent="0.25">
      <c r="A370" s="215" t="s">
        <v>92</v>
      </c>
      <c r="B370" s="218" t="s">
        <v>482</v>
      </c>
      <c r="C370" s="217" t="s">
        <v>103</v>
      </c>
      <c r="D370" s="217" t="s">
        <v>132</v>
      </c>
      <c r="E370" s="217" t="s">
        <v>98</v>
      </c>
      <c r="F370" s="217"/>
      <c r="G370" s="344">
        <f t="shared" si="36"/>
        <v>1279</v>
      </c>
      <c r="H370" s="344">
        <f t="shared" si="36"/>
        <v>1279</v>
      </c>
      <c r="I370" s="102">
        <f t="shared" si="32"/>
        <v>100</v>
      </c>
      <c r="J370" s="125"/>
      <c r="K370" s="125"/>
      <c r="L370" s="125"/>
      <c r="M370" s="125"/>
      <c r="N370" s="125"/>
    </row>
    <row r="371" spans="1:14" s="75" customFormat="1" ht="55.5" customHeight="1" x14ac:dyDescent="0.25">
      <c r="A371" s="215" t="s">
        <v>110</v>
      </c>
      <c r="B371" s="218" t="s">
        <v>482</v>
      </c>
      <c r="C371" s="217" t="s">
        <v>103</v>
      </c>
      <c r="D371" s="217" t="s">
        <v>132</v>
      </c>
      <c r="E371" s="217" t="s">
        <v>105</v>
      </c>
      <c r="F371" s="217"/>
      <c r="G371" s="344">
        <f>'Пр.4 Ведом23'!G258</f>
        <v>1279</v>
      </c>
      <c r="H371" s="344">
        <f>'Пр.4 Ведом23'!H258</f>
        <v>1279</v>
      </c>
      <c r="I371" s="102">
        <f t="shared" si="32"/>
        <v>100</v>
      </c>
      <c r="J371" s="125"/>
      <c r="K371" s="125"/>
      <c r="L371" s="125"/>
      <c r="M371" s="125"/>
      <c r="N371" s="125"/>
    </row>
    <row r="372" spans="1:14" s="75" customFormat="1" ht="36" customHeight="1" x14ac:dyDescent="0.25">
      <c r="A372" s="19" t="s">
        <v>880</v>
      </c>
      <c r="B372" s="218" t="s">
        <v>482</v>
      </c>
      <c r="C372" s="217" t="s">
        <v>103</v>
      </c>
      <c r="D372" s="217" t="s">
        <v>132</v>
      </c>
      <c r="E372" s="217" t="s">
        <v>105</v>
      </c>
      <c r="F372" s="217" t="s">
        <v>239</v>
      </c>
      <c r="G372" s="344">
        <f>G371</f>
        <v>1279</v>
      </c>
      <c r="H372" s="344">
        <f>H371</f>
        <v>1279</v>
      </c>
      <c r="I372" s="102">
        <f t="shared" si="32"/>
        <v>100</v>
      </c>
      <c r="J372" s="125"/>
      <c r="K372" s="125"/>
      <c r="L372" s="125"/>
      <c r="M372" s="125"/>
      <c r="N372" s="125"/>
    </row>
    <row r="373" spans="1:14" s="75" customFormat="1" ht="47.25" x14ac:dyDescent="0.25">
      <c r="A373" s="116" t="s">
        <v>849</v>
      </c>
      <c r="B373" s="117" t="s">
        <v>106</v>
      </c>
      <c r="C373" s="117"/>
      <c r="D373" s="217"/>
      <c r="E373" s="217"/>
      <c r="F373" s="217"/>
      <c r="G373" s="302">
        <f>G374+G381+G400</f>
        <v>535.17268000000001</v>
      </c>
      <c r="H373" s="567">
        <f>H374+H381+H400</f>
        <v>535.17268000000001</v>
      </c>
      <c r="I373" s="221">
        <f t="shared" si="32"/>
        <v>100</v>
      </c>
      <c r="J373" s="125"/>
      <c r="K373" s="125"/>
      <c r="L373" s="125"/>
      <c r="M373" s="125"/>
      <c r="N373" s="125"/>
    </row>
    <row r="374" spans="1:14" s="131" customFormat="1" ht="78.75" x14ac:dyDescent="0.25">
      <c r="A374" s="30" t="s">
        <v>887</v>
      </c>
      <c r="B374" s="6" t="s">
        <v>312</v>
      </c>
      <c r="C374" s="117"/>
      <c r="D374" s="218"/>
      <c r="E374" s="117"/>
      <c r="F374" s="217"/>
      <c r="G374" s="302">
        <f t="shared" ref="G374:H378" si="37">G375</f>
        <v>506.87268</v>
      </c>
      <c r="H374" s="567">
        <f t="shared" si="37"/>
        <v>506.87268</v>
      </c>
      <c r="I374" s="221">
        <f t="shared" si="32"/>
        <v>100</v>
      </c>
      <c r="J374" s="125"/>
      <c r="K374" s="125"/>
      <c r="L374" s="125"/>
      <c r="M374" s="125"/>
      <c r="N374" s="125"/>
    </row>
    <row r="375" spans="1:14" s="131" customFormat="1" ht="15.75" x14ac:dyDescent="0.25">
      <c r="A375" s="19" t="s">
        <v>80</v>
      </c>
      <c r="B375" s="217" t="s">
        <v>312</v>
      </c>
      <c r="C375" s="117"/>
      <c r="D375" s="218"/>
      <c r="E375" s="117"/>
      <c r="F375" s="217"/>
      <c r="G375" s="344">
        <f t="shared" si="37"/>
        <v>506.87268</v>
      </c>
      <c r="H375" s="344">
        <f t="shared" si="37"/>
        <v>506.87268</v>
      </c>
      <c r="I375" s="102">
        <f t="shared" si="32"/>
        <v>100</v>
      </c>
      <c r="J375" s="125"/>
      <c r="K375" s="125"/>
      <c r="L375" s="125"/>
      <c r="M375" s="125"/>
      <c r="N375" s="125"/>
    </row>
    <row r="376" spans="1:14" s="131" customFormat="1" ht="63" x14ac:dyDescent="0.25">
      <c r="A376" s="19" t="s">
        <v>102</v>
      </c>
      <c r="B376" s="217" t="s">
        <v>312</v>
      </c>
      <c r="C376" s="218" t="s">
        <v>81</v>
      </c>
      <c r="D376" s="218" t="s">
        <v>103</v>
      </c>
      <c r="E376" s="117"/>
      <c r="F376" s="217"/>
      <c r="G376" s="344">
        <f t="shared" si="37"/>
        <v>506.87268</v>
      </c>
      <c r="H376" s="344">
        <f t="shared" si="37"/>
        <v>506.87268</v>
      </c>
      <c r="I376" s="102">
        <f t="shared" si="32"/>
        <v>100</v>
      </c>
      <c r="J376" s="125"/>
      <c r="K376" s="125"/>
      <c r="L376" s="125"/>
      <c r="M376" s="125"/>
      <c r="N376" s="125"/>
    </row>
    <row r="377" spans="1:14" s="131" customFormat="1" ht="47.25" x14ac:dyDescent="0.25">
      <c r="A377" s="19" t="s">
        <v>626</v>
      </c>
      <c r="B377" s="217" t="s">
        <v>306</v>
      </c>
      <c r="C377" s="218" t="s">
        <v>81</v>
      </c>
      <c r="D377" s="218" t="s">
        <v>103</v>
      </c>
      <c r="E377" s="218"/>
      <c r="F377" s="217"/>
      <c r="G377" s="344">
        <f t="shared" si="37"/>
        <v>506.87268</v>
      </c>
      <c r="H377" s="344">
        <f t="shared" si="37"/>
        <v>506.87268</v>
      </c>
      <c r="I377" s="102">
        <f t="shared" si="32"/>
        <v>100</v>
      </c>
      <c r="J377" s="125"/>
      <c r="K377" s="125"/>
      <c r="L377" s="125"/>
      <c r="M377" s="125"/>
      <c r="N377" s="125"/>
    </row>
    <row r="378" spans="1:14" s="131" customFormat="1" ht="31.5" x14ac:dyDescent="0.25">
      <c r="A378" s="215" t="s">
        <v>88</v>
      </c>
      <c r="B378" s="217" t="s">
        <v>306</v>
      </c>
      <c r="C378" s="218" t="s">
        <v>81</v>
      </c>
      <c r="D378" s="218" t="s">
        <v>103</v>
      </c>
      <c r="E378" s="218" t="s">
        <v>89</v>
      </c>
      <c r="F378" s="217"/>
      <c r="G378" s="344">
        <f t="shared" si="37"/>
        <v>506.87268</v>
      </c>
      <c r="H378" s="344">
        <f t="shared" si="37"/>
        <v>506.87268</v>
      </c>
      <c r="I378" s="102">
        <f t="shared" si="32"/>
        <v>100</v>
      </c>
      <c r="J378" s="125"/>
      <c r="K378" s="125"/>
      <c r="L378" s="125"/>
      <c r="M378" s="125"/>
      <c r="N378" s="125"/>
    </row>
    <row r="379" spans="1:14" s="131" customFormat="1" ht="47.25" x14ac:dyDescent="0.25">
      <c r="A379" s="215" t="s">
        <v>90</v>
      </c>
      <c r="B379" s="217" t="s">
        <v>306</v>
      </c>
      <c r="C379" s="218" t="s">
        <v>81</v>
      </c>
      <c r="D379" s="218" t="s">
        <v>103</v>
      </c>
      <c r="E379" s="218" t="s">
        <v>91</v>
      </c>
      <c r="F379" s="217"/>
      <c r="G379" s="344">
        <f>'Пр.4 Ведом23'!G120</f>
        <v>506.87268</v>
      </c>
      <c r="H379" s="344">
        <f>'Пр.4 Ведом23'!H120</f>
        <v>506.87268</v>
      </c>
      <c r="I379" s="102">
        <f t="shared" si="32"/>
        <v>100</v>
      </c>
      <c r="J379" s="125"/>
      <c r="K379" s="125"/>
      <c r="L379" s="125"/>
      <c r="M379" s="125"/>
      <c r="N379" s="125"/>
    </row>
    <row r="380" spans="1:14" s="131" customFormat="1" ht="31.5" x14ac:dyDescent="0.25">
      <c r="A380" s="19" t="s">
        <v>880</v>
      </c>
      <c r="B380" s="217" t="s">
        <v>306</v>
      </c>
      <c r="C380" s="218" t="s">
        <v>81</v>
      </c>
      <c r="D380" s="218" t="s">
        <v>103</v>
      </c>
      <c r="E380" s="218" t="s">
        <v>91</v>
      </c>
      <c r="F380" s="217" t="s">
        <v>239</v>
      </c>
      <c r="G380" s="344">
        <f>G379</f>
        <v>506.87268</v>
      </c>
      <c r="H380" s="344">
        <f>H379</f>
        <v>506.87268</v>
      </c>
      <c r="I380" s="102">
        <f t="shared" si="32"/>
        <v>100</v>
      </c>
      <c r="J380" s="125"/>
      <c r="K380" s="125"/>
      <c r="L380" s="125"/>
      <c r="M380" s="125"/>
      <c r="N380" s="125"/>
    </row>
    <row r="381" spans="1:14" s="75" customFormat="1" ht="78.75" x14ac:dyDescent="0.25">
      <c r="A381" s="213" t="s">
        <v>850</v>
      </c>
      <c r="B381" s="6" t="s">
        <v>313</v>
      </c>
      <c r="C381" s="117"/>
      <c r="D381" s="217"/>
      <c r="E381" s="217"/>
      <c r="F381" s="217"/>
      <c r="G381" s="302">
        <f>G382</f>
        <v>28.3</v>
      </c>
      <c r="H381" s="567">
        <f>H382</f>
        <v>28.3</v>
      </c>
      <c r="I381" s="221">
        <f t="shared" si="32"/>
        <v>100</v>
      </c>
      <c r="J381" s="125"/>
      <c r="K381" s="125"/>
      <c r="L381" s="125"/>
      <c r="M381" s="125"/>
      <c r="N381" s="125"/>
    </row>
    <row r="382" spans="1:14" s="131" customFormat="1" ht="15.75" x14ac:dyDescent="0.25">
      <c r="A382" s="19" t="s">
        <v>80</v>
      </c>
      <c r="B382" s="217" t="s">
        <v>313</v>
      </c>
      <c r="C382" s="218" t="s">
        <v>81</v>
      </c>
      <c r="D382" s="217"/>
      <c r="E382" s="217"/>
      <c r="F382" s="217"/>
      <c r="G382" s="344">
        <f>G388</f>
        <v>28.3</v>
      </c>
      <c r="H382" s="344">
        <f>H388</f>
        <v>28.3</v>
      </c>
      <c r="I382" s="102">
        <f t="shared" si="32"/>
        <v>100</v>
      </c>
      <c r="J382" s="125"/>
      <c r="K382" s="125"/>
      <c r="L382" s="125"/>
      <c r="M382" s="125"/>
      <c r="N382" s="125"/>
    </row>
    <row r="383" spans="1:14" s="131" customFormat="1" ht="47.25" hidden="1" x14ac:dyDescent="0.25">
      <c r="A383" s="19" t="s">
        <v>227</v>
      </c>
      <c r="B383" s="217" t="s">
        <v>313</v>
      </c>
      <c r="C383" s="218" t="s">
        <v>81</v>
      </c>
      <c r="D383" s="217" t="s">
        <v>119</v>
      </c>
      <c r="E383" s="217"/>
      <c r="F383" s="217"/>
      <c r="G383" s="344">
        <f t="shared" ref="G383:H385" si="38">G384</f>
        <v>0</v>
      </c>
      <c r="H383" s="344">
        <f t="shared" si="38"/>
        <v>0</v>
      </c>
      <c r="I383" s="102" t="e">
        <f t="shared" si="32"/>
        <v>#DIV/0!</v>
      </c>
      <c r="J383" s="125"/>
      <c r="K383" s="125"/>
      <c r="L383" s="125"/>
      <c r="M383" s="125"/>
      <c r="N383" s="125"/>
    </row>
    <row r="384" spans="1:14" s="75" customFormat="1" ht="63" hidden="1" x14ac:dyDescent="0.25">
      <c r="A384" s="20" t="s">
        <v>256</v>
      </c>
      <c r="B384" s="217" t="s">
        <v>422</v>
      </c>
      <c r="C384" s="218" t="s">
        <v>81</v>
      </c>
      <c r="D384" s="217" t="s">
        <v>119</v>
      </c>
      <c r="E384" s="217"/>
      <c r="F384" s="217"/>
      <c r="G384" s="344">
        <f t="shared" si="38"/>
        <v>0</v>
      </c>
      <c r="H384" s="344">
        <f t="shared" si="38"/>
        <v>0</v>
      </c>
      <c r="I384" s="102" t="e">
        <f t="shared" si="32"/>
        <v>#DIV/0!</v>
      </c>
      <c r="J384" s="125"/>
      <c r="K384" s="125"/>
      <c r="L384" s="125"/>
      <c r="M384" s="125"/>
      <c r="N384" s="125"/>
    </row>
    <row r="385" spans="1:14" s="75" customFormat="1" ht="31.5" hidden="1" x14ac:dyDescent="0.25">
      <c r="A385" s="215" t="s">
        <v>88</v>
      </c>
      <c r="B385" s="217" t="s">
        <v>422</v>
      </c>
      <c r="C385" s="218" t="s">
        <v>81</v>
      </c>
      <c r="D385" s="217" t="s">
        <v>119</v>
      </c>
      <c r="E385" s="218" t="s">
        <v>89</v>
      </c>
      <c r="F385" s="217"/>
      <c r="G385" s="344">
        <f t="shared" si="38"/>
        <v>0</v>
      </c>
      <c r="H385" s="344">
        <f t="shared" si="38"/>
        <v>0</v>
      </c>
      <c r="I385" s="102" t="e">
        <f t="shared" si="32"/>
        <v>#DIV/0!</v>
      </c>
      <c r="J385" s="125"/>
      <c r="K385" s="125"/>
      <c r="L385" s="125"/>
      <c r="M385" s="125"/>
      <c r="N385" s="125"/>
    </row>
    <row r="386" spans="1:14" s="75" customFormat="1" ht="47.25" hidden="1" x14ac:dyDescent="0.25">
      <c r="A386" s="215" t="s">
        <v>90</v>
      </c>
      <c r="B386" s="217" t="s">
        <v>422</v>
      </c>
      <c r="C386" s="218" t="s">
        <v>81</v>
      </c>
      <c r="D386" s="217" t="s">
        <v>119</v>
      </c>
      <c r="E386" s="218" t="s">
        <v>91</v>
      </c>
      <c r="F386" s="217"/>
      <c r="G386" s="344">
        <f>'Пр.4 Ведом23'!G67</f>
        <v>0</v>
      </c>
      <c r="H386" s="344">
        <f>'Пр.4 Ведом23'!H67</f>
        <v>0</v>
      </c>
      <c r="I386" s="102" t="e">
        <f t="shared" si="32"/>
        <v>#DIV/0!</v>
      </c>
      <c r="J386" s="125"/>
      <c r="K386" s="125"/>
      <c r="L386" s="125"/>
      <c r="M386" s="125"/>
      <c r="N386" s="125"/>
    </row>
    <row r="387" spans="1:14" s="131" customFormat="1" ht="17.45" hidden="1" customHeight="1" x14ac:dyDescent="0.25">
      <c r="A387" s="19" t="s">
        <v>880</v>
      </c>
      <c r="B387" s="217" t="s">
        <v>422</v>
      </c>
      <c r="C387" s="218" t="s">
        <v>81</v>
      </c>
      <c r="D387" s="217" t="s">
        <v>119</v>
      </c>
      <c r="E387" s="218" t="s">
        <v>91</v>
      </c>
      <c r="F387" s="217" t="s">
        <v>239</v>
      </c>
      <c r="G387" s="344">
        <f>G386</f>
        <v>0</v>
      </c>
      <c r="H387" s="344">
        <f>H386</f>
        <v>0</v>
      </c>
      <c r="I387" s="102" t="e">
        <f t="shared" si="32"/>
        <v>#DIV/0!</v>
      </c>
      <c r="J387" s="125"/>
      <c r="K387" s="125"/>
      <c r="L387" s="125"/>
      <c r="M387" s="125"/>
      <c r="N387" s="125"/>
    </row>
    <row r="388" spans="1:14" s="131" customFormat="1" ht="63" x14ac:dyDescent="0.25">
      <c r="A388" s="19" t="s">
        <v>102</v>
      </c>
      <c r="B388" s="217" t="s">
        <v>313</v>
      </c>
      <c r="C388" s="218" t="s">
        <v>81</v>
      </c>
      <c r="D388" s="217" t="s">
        <v>103</v>
      </c>
      <c r="E388" s="218"/>
      <c r="F388" s="217"/>
      <c r="G388" s="344">
        <f>G389+G396</f>
        <v>28.3</v>
      </c>
      <c r="H388" s="344">
        <f>H389+H396</f>
        <v>28.3</v>
      </c>
      <c r="I388" s="102">
        <f t="shared" si="32"/>
        <v>100</v>
      </c>
      <c r="J388" s="125"/>
      <c r="K388" s="125"/>
      <c r="L388" s="125"/>
      <c r="M388" s="125"/>
      <c r="N388" s="125"/>
    </row>
    <row r="389" spans="1:14" s="131" customFormat="1" ht="63" x14ac:dyDescent="0.25">
      <c r="A389" s="66" t="s">
        <v>107</v>
      </c>
      <c r="B389" s="217" t="s">
        <v>307</v>
      </c>
      <c r="C389" s="218" t="s">
        <v>81</v>
      </c>
      <c r="D389" s="217" t="s">
        <v>103</v>
      </c>
      <c r="E389" s="218"/>
      <c r="F389" s="217"/>
      <c r="G389" s="344">
        <f>G390+G393</f>
        <v>28.3</v>
      </c>
      <c r="H389" s="344">
        <f>H390+H393</f>
        <v>28.3</v>
      </c>
      <c r="I389" s="102">
        <f t="shared" si="32"/>
        <v>100</v>
      </c>
      <c r="J389" s="125"/>
      <c r="K389" s="125"/>
      <c r="L389" s="125"/>
      <c r="M389" s="125"/>
      <c r="N389" s="125"/>
    </row>
    <row r="390" spans="1:14" s="131" customFormat="1" ht="78.75" x14ac:dyDescent="0.25">
      <c r="A390" s="215" t="s">
        <v>84</v>
      </c>
      <c r="B390" s="217" t="s">
        <v>307</v>
      </c>
      <c r="C390" s="218" t="s">
        <v>81</v>
      </c>
      <c r="D390" s="217" t="s">
        <v>103</v>
      </c>
      <c r="E390" s="218" t="s">
        <v>85</v>
      </c>
      <c r="F390" s="217"/>
      <c r="G390" s="344">
        <f>G391</f>
        <v>17.300000000000004</v>
      </c>
      <c r="H390" s="344">
        <f>H391</f>
        <v>17.3</v>
      </c>
      <c r="I390" s="102">
        <f t="shared" si="32"/>
        <v>99.999999999999972</v>
      </c>
      <c r="J390" s="125"/>
      <c r="K390" s="125"/>
      <c r="L390" s="125"/>
      <c r="M390" s="125"/>
      <c r="N390" s="125"/>
    </row>
    <row r="391" spans="1:14" s="131" customFormat="1" ht="31.5" x14ac:dyDescent="0.25">
      <c r="A391" s="215" t="s">
        <v>86</v>
      </c>
      <c r="B391" s="217" t="s">
        <v>307</v>
      </c>
      <c r="C391" s="218" t="s">
        <v>81</v>
      </c>
      <c r="D391" s="217" t="s">
        <v>103</v>
      </c>
      <c r="E391" s="218" t="s">
        <v>87</v>
      </c>
      <c r="F391" s="217"/>
      <c r="G391" s="344">
        <f>'Пр.4 Ведом23'!G124</f>
        <v>17.300000000000004</v>
      </c>
      <c r="H391" s="344">
        <f>'Пр.4 Ведом23'!H124</f>
        <v>17.3</v>
      </c>
      <c r="I391" s="102">
        <f t="shared" si="32"/>
        <v>99.999999999999972</v>
      </c>
      <c r="J391" s="125"/>
      <c r="K391" s="125"/>
      <c r="L391" s="125"/>
      <c r="M391" s="125"/>
      <c r="N391" s="125"/>
    </row>
    <row r="392" spans="1:14" s="131" customFormat="1" ht="25.5" customHeight="1" x14ac:dyDescent="0.25">
      <c r="A392" s="19" t="s">
        <v>880</v>
      </c>
      <c r="B392" s="217" t="s">
        <v>307</v>
      </c>
      <c r="C392" s="218" t="s">
        <v>81</v>
      </c>
      <c r="D392" s="217" t="s">
        <v>103</v>
      </c>
      <c r="E392" s="218" t="s">
        <v>87</v>
      </c>
      <c r="F392" s="217" t="s">
        <v>239</v>
      </c>
      <c r="G392" s="344">
        <f>G391</f>
        <v>17.300000000000004</v>
      </c>
      <c r="H392" s="344">
        <f>H391</f>
        <v>17.3</v>
      </c>
      <c r="I392" s="102">
        <f t="shared" si="32"/>
        <v>99.999999999999972</v>
      </c>
      <c r="J392" s="125"/>
      <c r="K392" s="125"/>
      <c r="L392" s="125"/>
      <c r="M392" s="125"/>
      <c r="N392" s="125"/>
    </row>
    <row r="393" spans="1:14" s="131" customFormat="1" ht="31.5" x14ac:dyDescent="0.25">
      <c r="A393" s="215" t="s">
        <v>88</v>
      </c>
      <c r="B393" s="217" t="s">
        <v>307</v>
      </c>
      <c r="C393" s="218" t="s">
        <v>81</v>
      </c>
      <c r="D393" s="217" t="s">
        <v>103</v>
      </c>
      <c r="E393" s="218" t="s">
        <v>89</v>
      </c>
      <c r="F393" s="217"/>
      <c r="G393" s="344">
        <f>G394</f>
        <v>10.999999999999996</v>
      </c>
      <c r="H393" s="344">
        <f>H394</f>
        <v>11</v>
      </c>
      <c r="I393" s="102">
        <f t="shared" si="32"/>
        <v>100.00000000000003</v>
      </c>
      <c r="J393" s="125"/>
      <c r="K393" s="125"/>
      <c r="L393" s="125"/>
      <c r="M393" s="125"/>
      <c r="N393" s="125"/>
    </row>
    <row r="394" spans="1:14" s="131" customFormat="1" ht="47.25" x14ac:dyDescent="0.25">
      <c r="A394" s="215" t="s">
        <v>90</v>
      </c>
      <c r="B394" s="217" t="s">
        <v>307</v>
      </c>
      <c r="C394" s="218" t="s">
        <v>81</v>
      </c>
      <c r="D394" s="217" t="s">
        <v>103</v>
      </c>
      <c r="E394" s="218" t="s">
        <v>91</v>
      </c>
      <c r="F394" s="217"/>
      <c r="G394" s="344">
        <f>'Пр.4 Ведом23'!G126</f>
        <v>10.999999999999996</v>
      </c>
      <c r="H394" s="344">
        <f>'Пр.4 Ведом23'!H126</f>
        <v>11</v>
      </c>
      <c r="I394" s="102">
        <f t="shared" si="32"/>
        <v>100.00000000000003</v>
      </c>
      <c r="J394" s="125"/>
      <c r="K394" s="125"/>
      <c r="L394" s="125"/>
      <c r="M394" s="125"/>
      <c r="N394" s="125"/>
    </row>
    <row r="395" spans="1:14" s="131" customFormat="1" ht="28.9" customHeight="1" x14ac:dyDescent="0.25">
      <c r="A395" s="19" t="s">
        <v>880</v>
      </c>
      <c r="B395" s="217" t="s">
        <v>307</v>
      </c>
      <c r="C395" s="218" t="s">
        <v>81</v>
      </c>
      <c r="D395" s="217" t="s">
        <v>103</v>
      </c>
      <c r="E395" s="218" t="s">
        <v>91</v>
      </c>
      <c r="F395" s="217" t="s">
        <v>239</v>
      </c>
      <c r="G395" s="344">
        <f>G394</f>
        <v>10.999999999999996</v>
      </c>
      <c r="H395" s="344">
        <f>H394</f>
        <v>11</v>
      </c>
      <c r="I395" s="102">
        <f t="shared" si="32"/>
        <v>100.00000000000003</v>
      </c>
      <c r="J395" s="125"/>
      <c r="K395" s="125"/>
      <c r="L395" s="125"/>
      <c r="M395" s="125"/>
      <c r="N395" s="125"/>
    </row>
    <row r="396" spans="1:14" s="131" customFormat="1" ht="28.9" hidden="1" customHeight="1" x14ac:dyDescent="0.25">
      <c r="A396" s="20" t="s">
        <v>504</v>
      </c>
      <c r="B396" s="217" t="s">
        <v>422</v>
      </c>
      <c r="C396" s="218" t="s">
        <v>81</v>
      </c>
      <c r="D396" s="217" t="s">
        <v>103</v>
      </c>
      <c r="E396" s="218"/>
      <c r="F396" s="217"/>
      <c r="G396" s="344">
        <f>G397</f>
        <v>0</v>
      </c>
      <c r="H396" s="344">
        <f>H397</f>
        <v>0</v>
      </c>
      <c r="I396" s="102" t="e">
        <f t="shared" si="32"/>
        <v>#DIV/0!</v>
      </c>
      <c r="J396" s="125"/>
      <c r="K396" s="125"/>
      <c r="L396" s="125"/>
      <c r="M396" s="125"/>
      <c r="N396" s="125"/>
    </row>
    <row r="397" spans="1:14" s="131" customFormat="1" ht="31.5" hidden="1" x14ac:dyDescent="0.25">
      <c r="A397" s="215" t="s">
        <v>88</v>
      </c>
      <c r="B397" s="217" t="s">
        <v>422</v>
      </c>
      <c r="C397" s="218" t="s">
        <v>81</v>
      </c>
      <c r="D397" s="217" t="s">
        <v>103</v>
      </c>
      <c r="E397" s="218" t="s">
        <v>89</v>
      </c>
      <c r="F397" s="217"/>
      <c r="G397" s="344">
        <f>G398</f>
        <v>0</v>
      </c>
      <c r="H397" s="344">
        <f>H398</f>
        <v>0</v>
      </c>
      <c r="I397" s="102" t="e">
        <f t="shared" si="32"/>
        <v>#DIV/0!</v>
      </c>
      <c r="J397" s="125"/>
      <c r="K397" s="125"/>
      <c r="L397" s="125"/>
      <c r="M397" s="125"/>
      <c r="N397" s="125"/>
    </row>
    <row r="398" spans="1:14" s="131" customFormat="1" ht="47.25" hidden="1" x14ac:dyDescent="0.25">
      <c r="A398" s="215" t="s">
        <v>90</v>
      </c>
      <c r="B398" s="217" t="s">
        <v>257</v>
      </c>
      <c r="C398" s="218" t="s">
        <v>81</v>
      </c>
      <c r="D398" s="217" t="s">
        <v>103</v>
      </c>
      <c r="E398" s="218" t="s">
        <v>91</v>
      </c>
      <c r="F398" s="217"/>
      <c r="G398" s="344">
        <f>'Пр.4 Ведом23'!G129</f>
        <v>0</v>
      </c>
      <c r="H398" s="344">
        <f>'Пр.4 Ведом23'!H129</f>
        <v>0</v>
      </c>
      <c r="I398" s="102" t="e">
        <f t="shared" si="32"/>
        <v>#DIV/0!</v>
      </c>
      <c r="J398" s="125"/>
      <c r="K398" s="125"/>
      <c r="L398" s="125"/>
      <c r="M398" s="125"/>
      <c r="N398" s="125"/>
    </row>
    <row r="399" spans="1:14" s="131" customFormat="1" ht="24.6" hidden="1" customHeight="1" x14ac:dyDescent="0.25">
      <c r="A399" s="19" t="s">
        <v>880</v>
      </c>
      <c r="B399" s="217" t="s">
        <v>257</v>
      </c>
      <c r="C399" s="218" t="s">
        <v>81</v>
      </c>
      <c r="D399" s="217" t="s">
        <v>103</v>
      </c>
      <c r="E399" s="218" t="s">
        <v>91</v>
      </c>
      <c r="F399" s="217" t="s">
        <v>239</v>
      </c>
      <c r="G399" s="344">
        <f>G398</f>
        <v>0</v>
      </c>
      <c r="H399" s="344">
        <f>H398</f>
        <v>0</v>
      </c>
      <c r="I399" s="102" t="e">
        <f t="shared" si="32"/>
        <v>#DIV/0!</v>
      </c>
      <c r="J399" s="125"/>
      <c r="K399" s="125"/>
      <c r="L399" s="125"/>
      <c r="M399" s="125"/>
      <c r="N399" s="125"/>
    </row>
    <row r="400" spans="1:14" s="75" customFormat="1" ht="63" hidden="1" x14ac:dyDescent="0.25">
      <c r="A400" s="82" t="s">
        <v>432</v>
      </c>
      <c r="B400" s="6" t="s">
        <v>314</v>
      </c>
      <c r="C400" s="117"/>
      <c r="D400" s="217"/>
      <c r="E400" s="117"/>
      <c r="F400" s="217"/>
      <c r="G400" s="343">
        <f t="shared" ref="G400:H404" si="39">G401</f>
        <v>0</v>
      </c>
      <c r="H400" s="566">
        <f t="shared" si="39"/>
        <v>0</v>
      </c>
      <c r="I400" s="102" t="e">
        <f t="shared" si="32"/>
        <v>#DIV/0!</v>
      </c>
      <c r="J400" s="125"/>
      <c r="K400" s="125"/>
      <c r="L400" s="125"/>
      <c r="M400" s="125"/>
      <c r="N400" s="125"/>
    </row>
    <row r="401" spans="1:14" s="131" customFormat="1" ht="15.75" hidden="1" x14ac:dyDescent="0.25">
      <c r="A401" s="19" t="s">
        <v>80</v>
      </c>
      <c r="B401" s="217" t="s">
        <v>314</v>
      </c>
      <c r="C401" s="218" t="s">
        <v>81</v>
      </c>
      <c r="D401" s="217"/>
      <c r="E401" s="117"/>
      <c r="F401" s="217"/>
      <c r="G401" s="342">
        <f t="shared" si="39"/>
        <v>0</v>
      </c>
      <c r="H401" s="565">
        <f t="shared" si="39"/>
        <v>0</v>
      </c>
      <c r="I401" s="102" t="e">
        <f t="shared" ref="I401:I464" si="40">H401/G401*100</f>
        <v>#DIV/0!</v>
      </c>
      <c r="J401" s="125"/>
      <c r="K401" s="125"/>
      <c r="L401" s="125"/>
      <c r="M401" s="125"/>
      <c r="N401" s="125"/>
    </row>
    <row r="402" spans="1:14" s="131" customFormat="1" ht="63" hidden="1" x14ac:dyDescent="0.25">
      <c r="A402" s="19" t="s">
        <v>102</v>
      </c>
      <c r="B402" s="217" t="s">
        <v>314</v>
      </c>
      <c r="C402" s="218" t="s">
        <v>81</v>
      </c>
      <c r="D402" s="217" t="s">
        <v>103</v>
      </c>
      <c r="E402" s="117"/>
      <c r="F402" s="217"/>
      <c r="G402" s="342">
        <f t="shared" si="39"/>
        <v>0</v>
      </c>
      <c r="H402" s="565">
        <f t="shared" si="39"/>
        <v>0</v>
      </c>
      <c r="I402" s="102" t="e">
        <f t="shared" si="40"/>
        <v>#DIV/0!</v>
      </c>
      <c r="J402" s="125"/>
      <c r="K402" s="125"/>
      <c r="L402" s="125"/>
      <c r="M402" s="125"/>
      <c r="N402" s="125"/>
    </row>
    <row r="403" spans="1:14" s="75" customFormat="1" ht="47.25" hidden="1" x14ac:dyDescent="0.25">
      <c r="A403" s="21" t="s">
        <v>112</v>
      </c>
      <c r="B403" s="217" t="s">
        <v>308</v>
      </c>
      <c r="C403" s="218" t="s">
        <v>81</v>
      </c>
      <c r="D403" s="217" t="s">
        <v>103</v>
      </c>
      <c r="E403" s="218"/>
      <c r="F403" s="217"/>
      <c r="G403" s="344">
        <f t="shared" si="39"/>
        <v>0</v>
      </c>
      <c r="H403" s="344">
        <f t="shared" si="39"/>
        <v>0</v>
      </c>
      <c r="I403" s="102" t="e">
        <f t="shared" si="40"/>
        <v>#DIV/0!</v>
      </c>
      <c r="J403" s="125"/>
      <c r="K403" s="125"/>
      <c r="L403" s="125"/>
      <c r="M403" s="125"/>
      <c r="N403" s="125"/>
    </row>
    <row r="404" spans="1:14" s="75" customFormat="1" ht="31.5" hidden="1" x14ac:dyDescent="0.25">
      <c r="A404" s="215" t="s">
        <v>88</v>
      </c>
      <c r="B404" s="217" t="s">
        <v>308</v>
      </c>
      <c r="C404" s="218" t="s">
        <v>81</v>
      </c>
      <c r="D404" s="217" t="s">
        <v>103</v>
      </c>
      <c r="E404" s="218" t="s">
        <v>89</v>
      </c>
      <c r="F404" s="217"/>
      <c r="G404" s="344">
        <f t="shared" si="39"/>
        <v>0</v>
      </c>
      <c r="H404" s="344">
        <f t="shared" si="39"/>
        <v>0</v>
      </c>
      <c r="I404" s="102" t="e">
        <f t="shared" si="40"/>
        <v>#DIV/0!</v>
      </c>
      <c r="J404" s="125"/>
      <c r="K404" s="125"/>
      <c r="L404" s="125"/>
      <c r="M404" s="125"/>
      <c r="N404" s="125"/>
    </row>
    <row r="405" spans="1:14" s="75" customFormat="1" ht="47.25" hidden="1" x14ac:dyDescent="0.25">
      <c r="A405" s="215" t="s">
        <v>90</v>
      </c>
      <c r="B405" s="217" t="s">
        <v>308</v>
      </c>
      <c r="C405" s="218" t="s">
        <v>81</v>
      </c>
      <c r="D405" s="217" t="s">
        <v>103</v>
      </c>
      <c r="E405" s="218" t="s">
        <v>91</v>
      </c>
      <c r="F405" s="217"/>
      <c r="G405" s="344">
        <f>'Пр.4 Ведом23'!G133</f>
        <v>0</v>
      </c>
      <c r="H405" s="344">
        <f>'Пр.4 Ведом23'!H133</f>
        <v>0</v>
      </c>
      <c r="I405" s="102" t="e">
        <f t="shared" si="40"/>
        <v>#DIV/0!</v>
      </c>
      <c r="J405" s="125"/>
      <c r="K405" s="125"/>
      <c r="L405" s="125"/>
      <c r="M405" s="125"/>
      <c r="N405" s="125"/>
    </row>
    <row r="406" spans="1:14" s="75" customFormat="1" ht="25.15" hidden="1" customHeight="1" x14ac:dyDescent="0.25">
      <c r="A406" s="19" t="s">
        <v>880</v>
      </c>
      <c r="B406" s="217" t="s">
        <v>308</v>
      </c>
      <c r="C406" s="218" t="s">
        <v>81</v>
      </c>
      <c r="D406" s="217" t="s">
        <v>103</v>
      </c>
      <c r="E406" s="218" t="s">
        <v>91</v>
      </c>
      <c r="F406" s="217" t="s">
        <v>239</v>
      </c>
      <c r="G406" s="344">
        <f>G405</f>
        <v>0</v>
      </c>
      <c r="H406" s="344">
        <f>H405</f>
        <v>0</v>
      </c>
      <c r="I406" s="102" t="e">
        <f t="shared" si="40"/>
        <v>#DIV/0!</v>
      </c>
      <c r="J406" s="125"/>
      <c r="K406" s="125"/>
      <c r="L406" s="125"/>
      <c r="M406" s="125"/>
      <c r="N406" s="125"/>
    </row>
    <row r="407" spans="1:14" s="75" customFormat="1" ht="47.25" x14ac:dyDescent="0.25">
      <c r="A407" s="116" t="s">
        <v>888</v>
      </c>
      <c r="B407" s="117" t="s">
        <v>195</v>
      </c>
      <c r="C407" s="117"/>
      <c r="D407" s="218"/>
      <c r="E407" s="217"/>
      <c r="F407" s="217"/>
      <c r="G407" s="302">
        <f>G408+G432+G460+G476+G488+G498+G505</f>
        <v>72113.926289999989</v>
      </c>
      <c r="H407" s="567">
        <f>H408+H432+H460+H476+H488+H498+H505</f>
        <v>68685.532200000001</v>
      </c>
      <c r="I407" s="221">
        <f t="shared" si="40"/>
        <v>95.245864056530507</v>
      </c>
      <c r="J407" s="125"/>
      <c r="K407" s="125"/>
      <c r="L407" s="125"/>
      <c r="M407" s="125"/>
      <c r="N407" s="125"/>
    </row>
    <row r="408" spans="1:14" s="75" customFormat="1" ht="31.5" x14ac:dyDescent="0.25">
      <c r="A408" s="116" t="s">
        <v>375</v>
      </c>
      <c r="B408" s="117" t="s">
        <v>599</v>
      </c>
      <c r="C408" s="117"/>
      <c r="D408" s="218"/>
      <c r="E408" s="218"/>
      <c r="F408" s="217"/>
      <c r="G408" s="302">
        <f>G409</f>
        <v>58676.468989999994</v>
      </c>
      <c r="H408" s="567">
        <f>H409</f>
        <v>56648.338609999992</v>
      </c>
      <c r="I408" s="221">
        <f t="shared" si="40"/>
        <v>96.543537102845008</v>
      </c>
      <c r="J408" s="125"/>
      <c r="K408" s="125"/>
      <c r="L408" s="125"/>
      <c r="M408" s="125"/>
      <c r="N408" s="125"/>
    </row>
    <row r="409" spans="1:14" s="131" customFormat="1" ht="15.75" x14ac:dyDescent="0.25">
      <c r="A409" s="215" t="s">
        <v>196</v>
      </c>
      <c r="B409" s="218" t="s">
        <v>599</v>
      </c>
      <c r="C409" s="218" t="s">
        <v>197</v>
      </c>
      <c r="D409" s="218"/>
      <c r="E409" s="218"/>
      <c r="F409" s="217"/>
      <c r="G409" s="344">
        <f>G410+G423</f>
        <v>58676.468989999994</v>
      </c>
      <c r="H409" s="344">
        <f>H410+H423</f>
        <v>56648.338609999992</v>
      </c>
      <c r="I409" s="102">
        <f t="shared" si="40"/>
        <v>96.543537102845008</v>
      </c>
      <c r="J409" s="125"/>
      <c r="K409" s="125"/>
      <c r="L409" s="125"/>
      <c r="M409" s="125"/>
      <c r="N409" s="125"/>
    </row>
    <row r="410" spans="1:14" s="131" customFormat="1" ht="15.75" x14ac:dyDescent="0.25">
      <c r="A410" s="215" t="s">
        <v>198</v>
      </c>
      <c r="B410" s="218" t="s">
        <v>599</v>
      </c>
      <c r="C410" s="218" t="s">
        <v>197</v>
      </c>
      <c r="D410" s="218" t="s">
        <v>81</v>
      </c>
      <c r="E410" s="218"/>
      <c r="F410" s="217"/>
      <c r="G410" s="344">
        <f>G411+G419+G415</f>
        <v>40354.130059999989</v>
      </c>
      <c r="H410" s="344">
        <f>H411+H419+H415</f>
        <v>38363.068259999993</v>
      </c>
      <c r="I410" s="102">
        <f t="shared" si="40"/>
        <v>95.066027202074196</v>
      </c>
      <c r="J410" s="125"/>
      <c r="K410" s="125"/>
      <c r="L410" s="125"/>
      <c r="M410" s="125"/>
      <c r="N410" s="125"/>
    </row>
    <row r="411" spans="1:14" s="75" customFormat="1" ht="31.5" x14ac:dyDescent="0.25">
      <c r="A411" s="215" t="s">
        <v>199</v>
      </c>
      <c r="B411" s="218" t="s">
        <v>600</v>
      </c>
      <c r="C411" s="218" t="s">
        <v>197</v>
      </c>
      <c r="D411" s="218" t="s">
        <v>81</v>
      </c>
      <c r="E411" s="218"/>
      <c r="F411" s="217"/>
      <c r="G411" s="344">
        <f>G412</f>
        <v>39817.118129999995</v>
      </c>
      <c r="H411" s="344">
        <f>H412</f>
        <v>37826.056329999999</v>
      </c>
      <c r="I411" s="102">
        <f t="shared" si="40"/>
        <v>94.999482902054027</v>
      </c>
      <c r="J411" s="125"/>
      <c r="K411" s="125"/>
      <c r="L411" s="125"/>
      <c r="M411" s="125"/>
      <c r="N411" s="125"/>
    </row>
    <row r="412" spans="1:14" s="75" customFormat="1" ht="47.25" x14ac:dyDescent="0.25">
      <c r="A412" s="215" t="s">
        <v>149</v>
      </c>
      <c r="B412" s="218" t="s">
        <v>600</v>
      </c>
      <c r="C412" s="218" t="s">
        <v>197</v>
      </c>
      <c r="D412" s="218" t="s">
        <v>81</v>
      </c>
      <c r="E412" s="218" t="s">
        <v>150</v>
      </c>
      <c r="F412" s="217"/>
      <c r="G412" s="344">
        <f>G413</f>
        <v>39817.118129999995</v>
      </c>
      <c r="H412" s="344">
        <f>H413</f>
        <v>37826.056329999999</v>
      </c>
      <c r="I412" s="102">
        <f t="shared" si="40"/>
        <v>94.999482902054027</v>
      </c>
      <c r="J412" s="125"/>
      <c r="K412" s="125"/>
      <c r="L412" s="125"/>
      <c r="M412" s="125"/>
      <c r="N412" s="125"/>
    </row>
    <row r="413" spans="1:14" s="75" customFormat="1" ht="15.75" x14ac:dyDescent="0.25">
      <c r="A413" s="215" t="s">
        <v>151</v>
      </c>
      <c r="B413" s="218" t="s">
        <v>600</v>
      </c>
      <c r="C413" s="218" t="s">
        <v>197</v>
      </c>
      <c r="D413" s="218" t="s">
        <v>81</v>
      </c>
      <c r="E413" s="218" t="s">
        <v>152</v>
      </c>
      <c r="F413" s="6"/>
      <c r="G413" s="344">
        <f>'Пр.4 Ведом23'!G967</f>
        <v>39817.118129999995</v>
      </c>
      <c r="H413" s="344">
        <f>'Пр.4 Ведом23'!H967</f>
        <v>37826.056329999999</v>
      </c>
      <c r="I413" s="102">
        <f t="shared" si="40"/>
        <v>94.999482902054027</v>
      </c>
      <c r="J413" s="125"/>
      <c r="K413" s="125"/>
      <c r="L413" s="125"/>
      <c r="M413" s="125"/>
      <c r="N413" s="125"/>
    </row>
    <row r="414" spans="1:14" s="131" customFormat="1" ht="31.5" x14ac:dyDescent="0.25">
      <c r="A414" s="26" t="s">
        <v>889</v>
      </c>
      <c r="B414" s="218" t="s">
        <v>600</v>
      </c>
      <c r="C414" s="218" t="s">
        <v>197</v>
      </c>
      <c r="D414" s="218" t="s">
        <v>81</v>
      </c>
      <c r="E414" s="218" t="s">
        <v>152</v>
      </c>
      <c r="F414" s="217" t="s">
        <v>890</v>
      </c>
      <c r="G414" s="344">
        <f>G413</f>
        <v>39817.118129999995</v>
      </c>
      <c r="H414" s="344">
        <f>H413</f>
        <v>37826.056329999999</v>
      </c>
      <c r="I414" s="102">
        <f t="shared" si="40"/>
        <v>94.999482902054027</v>
      </c>
      <c r="J414" s="125"/>
      <c r="K414" s="125"/>
      <c r="L414" s="125"/>
      <c r="M414" s="125"/>
      <c r="N414" s="125"/>
    </row>
    <row r="415" spans="1:14" s="332" customFormat="1" ht="31.5" x14ac:dyDescent="0.25">
      <c r="A415" s="449" t="s">
        <v>1118</v>
      </c>
      <c r="B415" s="334" t="s">
        <v>1123</v>
      </c>
      <c r="C415" s="334" t="s">
        <v>197</v>
      </c>
      <c r="D415" s="334" t="s">
        <v>81</v>
      </c>
      <c r="E415" s="334"/>
      <c r="F415" s="217"/>
      <c r="G415" s="344">
        <f>G416</f>
        <v>521.52</v>
      </c>
      <c r="H415" s="344">
        <f>H416</f>
        <v>521.52</v>
      </c>
      <c r="I415" s="102">
        <f t="shared" si="40"/>
        <v>100</v>
      </c>
      <c r="J415" s="125"/>
      <c r="K415" s="125"/>
      <c r="L415" s="125"/>
      <c r="M415" s="125"/>
      <c r="N415" s="125"/>
    </row>
    <row r="416" spans="1:14" s="332" customFormat="1" ht="47.25" x14ac:dyDescent="0.25">
      <c r="A416" s="449" t="s">
        <v>149</v>
      </c>
      <c r="B416" s="334" t="s">
        <v>1123</v>
      </c>
      <c r="C416" s="334" t="s">
        <v>197</v>
      </c>
      <c r="D416" s="334" t="s">
        <v>81</v>
      </c>
      <c r="E416" s="334" t="s">
        <v>150</v>
      </c>
      <c r="F416" s="217"/>
      <c r="G416" s="344">
        <f>G417</f>
        <v>521.52</v>
      </c>
      <c r="H416" s="344">
        <f>H417</f>
        <v>521.52</v>
      </c>
      <c r="I416" s="102">
        <f t="shared" si="40"/>
        <v>100</v>
      </c>
      <c r="J416" s="125"/>
      <c r="K416" s="125"/>
      <c r="L416" s="125"/>
      <c r="M416" s="125"/>
      <c r="N416" s="125"/>
    </row>
    <row r="417" spans="1:14" s="332" customFormat="1" ht="15.75" x14ac:dyDescent="0.25">
      <c r="A417" s="449" t="s">
        <v>151</v>
      </c>
      <c r="B417" s="334" t="s">
        <v>1123</v>
      </c>
      <c r="C417" s="334" t="s">
        <v>197</v>
      </c>
      <c r="D417" s="334" t="s">
        <v>81</v>
      </c>
      <c r="E417" s="334" t="s">
        <v>152</v>
      </c>
      <c r="F417" s="217"/>
      <c r="G417" s="344">
        <f>'Пр.4 Ведом23'!G970</f>
        <v>521.52</v>
      </c>
      <c r="H417" s="344">
        <f>'Пр.4 Ведом23'!H970</f>
        <v>521.52</v>
      </c>
      <c r="I417" s="102">
        <f t="shared" si="40"/>
        <v>100</v>
      </c>
      <c r="J417" s="125"/>
      <c r="K417" s="125"/>
      <c r="L417" s="125"/>
      <c r="M417" s="125"/>
      <c r="N417" s="125"/>
    </row>
    <row r="418" spans="1:14" s="332" customFormat="1" ht="31.5" x14ac:dyDescent="0.25">
      <c r="A418" s="449" t="s">
        <v>889</v>
      </c>
      <c r="B418" s="334" t="s">
        <v>1123</v>
      </c>
      <c r="C418" s="334" t="s">
        <v>197</v>
      </c>
      <c r="D418" s="334" t="s">
        <v>81</v>
      </c>
      <c r="E418" s="334" t="s">
        <v>152</v>
      </c>
      <c r="F418" s="217" t="s">
        <v>890</v>
      </c>
      <c r="G418" s="344">
        <f>G417</f>
        <v>521.52</v>
      </c>
      <c r="H418" s="344">
        <f>H417</f>
        <v>521.52</v>
      </c>
      <c r="I418" s="102">
        <f t="shared" si="40"/>
        <v>100</v>
      </c>
      <c r="J418" s="125"/>
      <c r="K418" s="125"/>
      <c r="L418" s="125"/>
      <c r="M418" s="125"/>
      <c r="N418" s="125"/>
    </row>
    <row r="419" spans="1:14" s="332" customFormat="1" ht="46.5" customHeight="1" x14ac:dyDescent="0.25">
      <c r="A419" s="449" t="s">
        <v>1107</v>
      </c>
      <c r="B419" s="334" t="s">
        <v>1113</v>
      </c>
      <c r="C419" s="334" t="s">
        <v>197</v>
      </c>
      <c r="D419" s="334" t="s">
        <v>81</v>
      </c>
      <c r="E419" s="334"/>
      <c r="F419" s="217"/>
      <c r="G419" s="344">
        <f>G420</f>
        <v>15.49193</v>
      </c>
      <c r="H419" s="344">
        <f>H420</f>
        <v>15.49193</v>
      </c>
      <c r="I419" s="102">
        <f t="shared" si="40"/>
        <v>100</v>
      </c>
      <c r="J419" s="125"/>
      <c r="K419" s="125"/>
      <c r="L419" s="125"/>
      <c r="M419" s="125"/>
      <c r="N419" s="125"/>
    </row>
    <row r="420" spans="1:14" s="332" customFormat="1" ht="47.25" x14ac:dyDescent="0.25">
      <c r="A420" s="449" t="s">
        <v>149</v>
      </c>
      <c r="B420" s="334" t="s">
        <v>1113</v>
      </c>
      <c r="C420" s="334" t="s">
        <v>197</v>
      </c>
      <c r="D420" s="334" t="s">
        <v>81</v>
      </c>
      <c r="E420" s="334" t="s">
        <v>150</v>
      </c>
      <c r="F420" s="217"/>
      <c r="G420" s="344">
        <f>G421</f>
        <v>15.49193</v>
      </c>
      <c r="H420" s="344">
        <f>H421</f>
        <v>15.49193</v>
      </c>
      <c r="I420" s="102">
        <f t="shared" si="40"/>
        <v>100</v>
      </c>
      <c r="J420" s="125"/>
      <c r="K420" s="125"/>
      <c r="L420" s="125"/>
      <c r="M420" s="125"/>
      <c r="N420" s="125"/>
    </row>
    <row r="421" spans="1:14" s="332" customFormat="1" ht="15.75" x14ac:dyDescent="0.25">
      <c r="A421" s="449" t="s">
        <v>151</v>
      </c>
      <c r="B421" s="334" t="s">
        <v>1113</v>
      </c>
      <c r="C421" s="334" t="s">
        <v>197</v>
      </c>
      <c r="D421" s="334" t="s">
        <v>81</v>
      </c>
      <c r="E421" s="334" t="s">
        <v>152</v>
      </c>
      <c r="F421" s="217"/>
      <c r="G421" s="344">
        <f>'Пр.4 Ведом23'!G973</f>
        <v>15.49193</v>
      </c>
      <c r="H421" s="344">
        <f>'Пр.4 Ведом23'!H973</f>
        <v>15.49193</v>
      </c>
      <c r="I421" s="102">
        <f t="shared" si="40"/>
        <v>100</v>
      </c>
      <c r="J421" s="125"/>
      <c r="K421" s="125"/>
      <c r="L421" s="125"/>
      <c r="M421" s="125"/>
      <c r="N421" s="125"/>
    </row>
    <row r="422" spans="1:14" s="332" customFormat="1" ht="34.5" customHeight="1" x14ac:dyDescent="0.25">
      <c r="A422" s="449" t="s">
        <v>889</v>
      </c>
      <c r="B422" s="334" t="s">
        <v>1113</v>
      </c>
      <c r="C422" s="334" t="s">
        <v>197</v>
      </c>
      <c r="D422" s="334" t="s">
        <v>81</v>
      </c>
      <c r="E422" s="334" t="s">
        <v>152</v>
      </c>
      <c r="F422" s="217" t="s">
        <v>890</v>
      </c>
      <c r="G422" s="344">
        <f>G421</f>
        <v>15.49193</v>
      </c>
      <c r="H422" s="344">
        <f>H421</f>
        <v>15.49193</v>
      </c>
      <c r="I422" s="102">
        <f t="shared" si="40"/>
        <v>100</v>
      </c>
      <c r="J422" s="125"/>
      <c r="K422" s="125"/>
      <c r="L422" s="125"/>
      <c r="M422" s="125"/>
      <c r="N422" s="125"/>
    </row>
    <row r="423" spans="1:14" s="131" customFormat="1" ht="15.75" x14ac:dyDescent="0.25">
      <c r="A423" s="68" t="s">
        <v>997</v>
      </c>
      <c r="B423" s="218" t="s">
        <v>599</v>
      </c>
      <c r="C423" s="218" t="s">
        <v>197</v>
      </c>
      <c r="D423" s="218" t="s">
        <v>120</v>
      </c>
      <c r="E423" s="218"/>
      <c r="F423" s="217"/>
      <c r="G423" s="344">
        <f>G424+G428</f>
        <v>18322.338930000002</v>
      </c>
      <c r="H423" s="344">
        <f>H424+H428</f>
        <v>18285.270349999999</v>
      </c>
      <c r="I423" s="102">
        <f t="shared" si="40"/>
        <v>99.797686419066792</v>
      </c>
      <c r="J423" s="125"/>
      <c r="K423" s="125"/>
      <c r="L423" s="125"/>
      <c r="M423" s="125"/>
      <c r="N423" s="125"/>
    </row>
    <row r="424" spans="1:14" s="131" customFormat="1" ht="31.5" x14ac:dyDescent="0.25">
      <c r="A424" s="215" t="s">
        <v>199</v>
      </c>
      <c r="B424" s="218" t="s">
        <v>600</v>
      </c>
      <c r="C424" s="218" t="s">
        <v>197</v>
      </c>
      <c r="D424" s="218" t="s">
        <v>120</v>
      </c>
      <c r="E424" s="218"/>
      <c r="F424" s="217"/>
      <c r="G424" s="344">
        <f>G425</f>
        <v>18049.358930000002</v>
      </c>
      <c r="H424" s="344">
        <f>H425</f>
        <v>18012.290349999999</v>
      </c>
      <c r="I424" s="102">
        <f t="shared" si="40"/>
        <v>99.794626611705368</v>
      </c>
      <c r="J424" s="125"/>
      <c r="K424" s="125"/>
      <c r="L424" s="125"/>
      <c r="M424" s="125"/>
      <c r="N424" s="125"/>
    </row>
    <row r="425" spans="1:14" s="131" customFormat="1" ht="47.25" x14ac:dyDescent="0.25">
      <c r="A425" s="215" t="s">
        <v>149</v>
      </c>
      <c r="B425" s="218" t="s">
        <v>600</v>
      </c>
      <c r="C425" s="218" t="s">
        <v>197</v>
      </c>
      <c r="D425" s="218" t="s">
        <v>120</v>
      </c>
      <c r="E425" s="218" t="s">
        <v>150</v>
      </c>
      <c r="F425" s="217"/>
      <c r="G425" s="344">
        <f>G426</f>
        <v>18049.358930000002</v>
      </c>
      <c r="H425" s="344">
        <f>H426</f>
        <v>18012.290349999999</v>
      </c>
      <c r="I425" s="102">
        <f t="shared" si="40"/>
        <v>99.794626611705368</v>
      </c>
      <c r="J425" s="125"/>
      <c r="K425" s="125"/>
      <c r="L425" s="125"/>
      <c r="M425" s="125"/>
      <c r="N425" s="125"/>
    </row>
    <row r="426" spans="1:14" s="131" customFormat="1" ht="15.75" x14ac:dyDescent="0.25">
      <c r="A426" s="215" t="s">
        <v>151</v>
      </c>
      <c r="B426" s="218" t="s">
        <v>600</v>
      </c>
      <c r="C426" s="218" t="s">
        <v>197</v>
      </c>
      <c r="D426" s="218" t="s">
        <v>120</v>
      </c>
      <c r="E426" s="218" t="s">
        <v>152</v>
      </c>
      <c r="F426" s="6"/>
      <c r="G426" s="344">
        <f>'Пр.4 Ведом23'!G1024</f>
        <v>18049.358930000002</v>
      </c>
      <c r="H426" s="344">
        <f>'Пр.4 Ведом23'!H1024</f>
        <v>18012.290349999999</v>
      </c>
      <c r="I426" s="102">
        <f t="shared" si="40"/>
        <v>99.794626611705368</v>
      </c>
      <c r="J426" s="125"/>
      <c r="K426" s="125"/>
      <c r="L426" s="125"/>
      <c r="M426" s="125"/>
      <c r="N426" s="125"/>
    </row>
    <row r="427" spans="1:14" s="131" customFormat="1" ht="31.5" x14ac:dyDescent="0.25">
      <c r="A427" s="26" t="s">
        <v>889</v>
      </c>
      <c r="B427" s="218" t="s">
        <v>600</v>
      </c>
      <c r="C427" s="218" t="s">
        <v>197</v>
      </c>
      <c r="D427" s="218" t="s">
        <v>120</v>
      </c>
      <c r="E427" s="218" t="s">
        <v>152</v>
      </c>
      <c r="F427" s="217" t="s">
        <v>890</v>
      </c>
      <c r="G427" s="344">
        <f>G426</f>
        <v>18049.358930000002</v>
      </c>
      <c r="H427" s="344">
        <f>H426</f>
        <v>18012.290349999999</v>
      </c>
      <c r="I427" s="102">
        <f t="shared" si="40"/>
        <v>99.794626611705368</v>
      </c>
      <c r="J427" s="125"/>
      <c r="K427" s="125"/>
      <c r="L427" s="125"/>
      <c r="M427" s="125"/>
      <c r="N427" s="125"/>
    </row>
    <row r="428" spans="1:14" s="332" customFormat="1" ht="31.5" x14ac:dyDescent="0.25">
      <c r="A428" s="26" t="s">
        <v>1118</v>
      </c>
      <c r="B428" s="334" t="s">
        <v>1123</v>
      </c>
      <c r="C428" s="334" t="s">
        <v>197</v>
      </c>
      <c r="D428" s="334" t="s">
        <v>120</v>
      </c>
      <c r="E428" s="334"/>
      <c r="F428" s="217"/>
      <c r="G428" s="344">
        <f>G429</f>
        <v>272.98</v>
      </c>
      <c r="H428" s="344">
        <f>H429</f>
        <v>272.98</v>
      </c>
      <c r="I428" s="102">
        <f t="shared" si="40"/>
        <v>100</v>
      </c>
      <c r="J428" s="125"/>
      <c r="K428" s="125"/>
      <c r="L428" s="125"/>
      <c r="M428" s="125"/>
      <c r="N428" s="125"/>
    </row>
    <row r="429" spans="1:14" s="332" customFormat="1" ht="47.25" x14ac:dyDescent="0.25">
      <c r="A429" s="26" t="s">
        <v>149</v>
      </c>
      <c r="B429" s="334" t="s">
        <v>1123</v>
      </c>
      <c r="C429" s="334" t="s">
        <v>197</v>
      </c>
      <c r="D429" s="334" t="s">
        <v>120</v>
      </c>
      <c r="E429" s="334" t="s">
        <v>150</v>
      </c>
      <c r="F429" s="217"/>
      <c r="G429" s="344">
        <f>G430</f>
        <v>272.98</v>
      </c>
      <c r="H429" s="344">
        <f>H430</f>
        <v>272.98</v>
      </c>
      <c r="I429" s="102">
        <f t="shared" si="40"/>
        <v>100</v>
      </c>
      <c r="J429" s="125"/>
      <c r="K429" s="125"/>
      <c r="L429" s="125"/>
      <c r="M429" s="125"/>
      <c r="N429" s="125"/>
    </row>
    <row r="430" spans="1:14" s="332" customFormat="1" ht="15.75" x14ac:dyDescent="0.25">
      <c r="A430" s="26" t="s">
        <v>151</v>
      </c>
      <c r="B430" s="334" t="s">
        <v>1123</v>
      </c>
      <c r="C430" s="334" t="s">
        <v>197</v>
      </c>
      <c r="D430" s="334" t="s">
        <v>120</v>
      </c>
      <c r="E430" s="334" t="s">
        <v>152</v>
      </c>
      <c r="F430" s="217"/>
      <c r="G430" s="344">
        <f>'Пр.4 Ведом23'!G1027</f>
        <v>272.98</v>
      </c>
      <c r="H430" s="344">
        <f>'Пр.4 Ведом23'!H1027</f>
        <v>272.98</v>
      </c>
      <c r="I430" s="102">
        <f t="shared" si="40"/>
        <v>100</v>
      </c>
      <c r="J430" s="125"/>
      <c r="K430" s="125"/>
      <c r="L430" s="125"/>
      <c r="M430" s="125"/>
      <c r="N430" s="125"/>
    </row>
    <row r="431" spans="1:14" s="332" customFormat="1" ht="39.75" customHeight="1" x14ac:dyDescent="0.25">
      <c r="A431" s="26" t="s">
        <v>889</v>
      </c>
      <c r="B431" s="334" t="s">
        <v>1123</v>
      </c>
      <c r="C431" s="334" t="s">
        <v>197</v>
      </c>
      <c r="D431" s="334" t="s">
        <v>120</v>
      </c>
      <c r="E431" s="334" t="s">
        <v>152</v>
      </c>
      <c r="F431" s="217" t="s">
        <v>890</v>
      </c>
      <c r="G431" s="344">
        <f>G430</f>
        <v>272.98</v>
      </c>
      <c r="H431" s="344">
        <f>H430</f>
        <v>272.98</v>
      </c>
      <c r="I431" s="102">
        <f t="shared" si="40"/>
        <v>100</v>
      </c>
      <c r="J431" s="125"/>
      <c r="K431" s="125"/>
      <c r="L431" s="125"/>
      <c r="M431" s="125"/>
      <c r="N431" s="125"/>
    </row>
    <row r="432" spans="1:14" s="75" customFormat="1" ht="31.5" x14ac:dyDescent="0.25">
      <c r="A432" s="116" t="s">
        <v>379</v>
      </c>
      <c r="B432" s="117" t="s">
        <v>601</v>
      </c>
      <c r="C432" s="117"/>
      <c r="D432" s="218"/>
      <c r="E432" s="117"/>
      <c r="F432" s="217"/>
      <c r="G432" s="302">
        <f>G433</f>
        <v>556.53200000000004</v>
      </c>
      <c r="H432" s="567">
        <f>H433</f>
        <v>556.52100000000007</v>
      </c>
      <c r="I432" s="221">
        <f t="shared" si="40"/>
        <v>99.998023473942212</v>
      </c>
      <c r="J432" s="125"/>
      <c r="K432" s="125"/>
      <c r="L432" s="125"/>
      <c r="M432" s="125"/>
      <c r="N432" s="125"/>
    </row>
    <row r="433" spans="1:14" s="131" customFormat="1" ht="15.75" x14ac:dyDescent="0.25">
      <c r="A433" s="215" t="s">
        <v>196</v>
      </c>
      <c r="B433" s="218" t="s">
        <v>601</v>
      </c>
      <c r="C433" s="218" t="s">
        <v>197</v>
      </c>
      <c r="D433" s="218"/>
      <c r="E433" s="117"/>
      <c r="F433" s="217"/>
      <c r="G433" s="344">
        <f>G434+G443</f>
        <v>556.53200000000004</v>
      </c>
      <c r="H433" s="344">
        <f>H434+H443</f>
        <v>556.52100000000007</v>
      </c>
      <c r="I433" s="102">
        <f t="shared" si="40"/>
        <v>99.998023473942212</v>
      </c>
      <c r="J433" s="125"/>
      <c r="K433" s="125"/>
      <c r="L433" s="125"/>
      <c r="M433" s="125"/>
      <c r="N433" s="125"/>
    </row>
    <row r="434" spans="1:14" s="131" customFormat="1" ht="15.75" x14ac:dyDescent="0.25">
      <c r="A434" s="215" t="s">
        <v>198</v>
      </c>
      <c r="B434" s="218" t="s">
        <v>601</v>
      </c>
      <c r="C434" s="218" t="s">
        <v>197</v>
      </c>
      <c r="D434" s="218" t="s">
        <v>81</v>
      </c>
      <c r="E434" s="117"/>
      <c r="F434" s="217"/>
      <c r="G434" s="344">
        <f>G439+G435+G452+G456</f>
        <v>461.18200000000002</v>
      </c>
      <c r="H434" s="344">
        <f>H439+H435+H452+H456</f>
        <v>461.17100000000005</v>
      </c>
      <c r="I434" s="102">
        <f t="shared" si="40"/>
        <v>99.997614824516148</v>
      </c>
      <c r="J434" s="125"/>
      <c r="K434" s="125"/>
      <c r="L434" s="125"/>
      <c r="M434" s="125"/>
      <c r="N434" s="125"/>
    </row>
    <row r="435" spans="1:14" s="75" customFormat="1" ht="31.5" x14ac:dyDescent="0.25">
      <c r="A435" s="215" t="s">
        <v>153</v>
      </c>
      <c r="B435" s="218" t="s">
        <v>635</v>
      </c>
      <c r="C435" s="218" t="s">
        <v>197</v>
      </c>
      <c r="D435" s="218" t="s">
        <v>81</v>
      </c>
      <c r="E435" s="218"/>
      <c r="F435" s="217"/>
      <c r="G435" s="344">
        <f>G436</f>
        <v>261.35000000000002</v>
      </c>
      <c r="H435" s="344">
        <f>H436</f>
        <v>261.35000000000002</v>
      </c>
      <c r="I435" s="102">
        <f t="shared" si="40"/>
        <v>100</v>
      </c>
      <c r="J435" s="125"/>
      <c r="K435" s="125"/>
      <c r="L435" s="125"/>
      <c r="M435" s="125"/>
      <c r="N435" s="125"/>
    </row>
    <row r="436" spans="1:14" s="75" customFormat="1" ht="47.25" x14ac:dyDescent="0.25">
      <c r="A436" s="215" t="s">
        <v>149</v>
      </c>
      <c r="B436" s="218" t="s">
        <v>635</v>
      </c>
      <c r="C436" s="218" t="s">
        <v>197</v>
      </c>
      <c r="D436" s="218" t="s">
        <v>81</v>
      </c>
      <c r="E436" s="218" t="s">
        <v>150</v>
      </c>
      <c r="F436" s="217"/>
      <c r="G436" s="344">
        <f>G437</f>
        <v>261.35000000000002</v>
      </c>
      <c r="H436" s="344">
        <f>H437</f>
        <v>261.35000000000002</v>
      </c>
      <c r="I436" s="102">
        <f t="shared" si="40"/>
        <v>100</v>
      </c>
      <c r="J436" s="125"/>
      <c r="K436" s="125"/>
      <c r="L436" s="125"/>
      <c r="M436" s="125"/>
      <c r="N436" s="125"/>
    </row>
    <row r="437" spans="1:14" s="75" customFormat="1" ht="15.75" x14ac:dyDescent="0.25">
      <c r="A437" s="215" t="s">
        <v>151</v>
      </c>
      <c r="B437" s="218" t="s">
        <v>635</v>
      </c>
      <c r="C437" s="218" t="s">
        <v>197</v>
      </c>
      <c r="D437" s="218" t="s">
        <v>81</v>
      </c>
      <c r="E437" s="218" t="s">
        <v>152</v>
      </c>
      <c r="F437" s="217"/>
      <c r="G437" s="344">
        <f>'Пр.4 Ведом23'!G977</f>
        <v>261.35000000000002</v>
      </c>
      <c r="H437" s="344">
        <f>'Пр.4 Ведом23'!H977</f>
        <v>261.35000000000002</v>
      </c>
      <c r="I437" s="102">
        <f t="shared" si="40"/>
        <v>100</v>
      </c>
      <c r="J437" s="125"/>
      <c r="K437" s="125"/>
      <c r="L437" s="125"/>
      <c r="M437" s="125"/>
      <c r="N437" s="125"/>
    </row>
    <row r="438" spans="1:14" s="131" customFormat="1" ht="31.5" x14ac:dyDescent="0.25">
      <c r="A438" s="26" t="s">
        <v>889</v>
      </c>
      <c r="B438" s="218" t="s">
        <v>635</v>
      </c>
      <c r="C438" s="218" t="s">
        <v>197</v>
      </c>
      <c r="D438" s="218" t="s">
        <v>81</v>
      </c>
      <c r="E438" s="218" t="s">
        <v>152</v>
      </c>
      <c r="F438" s="217" t="s">
        <v>890</v>
      </c>
      <c r="G438" s="344">
        <f>G437</f>
        <v>261.35000000000002</v>
      </c>
      <c r="H438" s="344">
        <f>H437</f>
        <v>261.35000000000002</v>
      </c>
      <c r="I438" s="102">
        <f t="shared" si="40"/>
        <v>100</v>
      </c>
      <c r="J438" s="125"/>
      <c r="K438" s="125"/>
      <c r="L438" s="125"/>
      <c r="M438" s="125"/>
      <c r="N438" s="125"/>
    </row>
    <row r="439" spans="1:14" s="75" customFormat="1" ht="31.5" x14ac:dyDescent="0.25">
      <c r="A439" s="215" t="s">
        <v>855</v>
      </c>
      <c r="B439" s="218" t="s">
        <v>636</v>
      </c>
      <c r="C439" s="218" t="s">
        <v>197</v>
      </c>
      <c r="D439" s="218" t="s">
        <v>81</v>
      </c>
      <c r="E439" s="218"/>
      <c r="F439" s="217"/>
      <c r="G439" s="344">
        <f>G440</f>
        <v>199.83199999999999</v>
      </c>
      <c r="H439" s="344">
        <f>H440</f>
        <v>199.821</v>
      </c>
      <c r="I439" s="102">
        <f t="shared" si="40"/>
        <v>99.99449537611595</v>
      </c>
      <c r="J439" s="125"/>
      <c r="K439" s="125"/>
      <c r="L439" s="125"/>
      <c r="M439" s="125"/>
      <c r="N439" s="125"/>
    </row>
    <row r="440" spans="1:14" s="75" customFormat="1" ht="47.25" x14ac:dyDescent="0.25">
      <c r="A440" s="215" t="s">
        <v>149</v>
      </c>
      <c r="B440" s="218" t="s">
        <v>636</v>
      </c>
      <c r="C440" s="218" t="s">
        <v>197</v>
      </c>
      <c r="D440" s="218" t="s">
        <v>81</v>
      </c>
      <c r="E440" s="218" t="s">
        <v>150</v>
      </c>
      <c r="F440" s="217"/>
      <c r="G440" s="344">
        <f>G441</f>
        <v>199.83199999999999</v>
      </c>
      <c r="H440" s="344">
        <f>H441</f>
        <v>199.821</v>
      </c>
      <c r="I440" s="102">
        <f t="shared" si="40"/>
        <v>99.99449537611595</v>
      </c>
      <c r="J440" s="125"/>
      <c r="K440" s="125"/>
      <c r="L440" s="125"/>
      <c r="M440" s="125"/>
      <c r="N440" s="125"/>
    </row>
    <row r="441" spans="1:14" s="75" customFormat="1" ht="15.75" x14ac:dyDescent="0.25">
      <c r="A441" s="215" t="s">
        <v>151</v>
      </c>
      <c r="B441" s="218" t="s">
        <v>636</v>
      </c>
      <c r="C441" s="218" t="s">
        <v>197</v>
      </c>
      <c r="D441" s="218" t="s">
        <v>81</v>
      </c>
      <c r="E441" s="218" t="s">
        <v>152</v>
      </c>
      <c r="F441" s="217"/>
      <c r="G441" s="344">
        <f>'Пр.4 Ведом23'!G980</f>
        <v>199.83199999999999</v>
      </c>
      <c r="H441" s="344">
        <f>'Пр.4 Ведом23'!H980</f>
        <v>199.821</v>
      </c>
      <c r="I441" s="102">
        <f t="shared" si="40"/>
        <v>99.99449537611595</v>
      </c>
      <c r="J441" s="125"/>
      <c r="K441" s="125"/>
      <c r="L441" s="125"/>
      <c r="M441" s="125"/>
      <c r="N441" s="125"/>
    </row>
    <row r="442" spans="1:14" s="131" customFormat="1" ht="31.5" x14ac:dyDescent="0.25">
      <c r="A442" s="26" t="s">
        <v>889</v>
      </c>
      <c r="B442" s="218" t="s">
        <v>636</v>
      </c>
      <c r="C442" s="218" t="s">
        <v>197</v>
      </c>
      <c r="D442" s="218" t="s">
        <v>81</v>
      </c>
      <c r="E442" s="218" t="s">
        <v>152</v>
      </c>
      <c r="F442" s="217" t="s">
        <v>890</v>
      </c>
      <c r="G442" s="344">
        <f>G441</f>
        <v>199.83199999999999</v>
      </c>
      <c r="H442" s="344">
        <f>H441</f>
        <v>199.821</v>
      </c>
      <c r="I442" s="102">
        <f t="shared" si="40"/>
        <v>99.99449537611595</v>
      </c>
      <c r="J442" s="125"/>
      <c r="K442" s="125"/>
      <c r="L442" s="125"/>
      <c r="M442" s="125"/>
      <c r="N442" s="125"/>
    </row>
    <row r="443" spans="1:14" s="131" customFormat="1" ht="15.75" x14ac:dyDescent="0.25">
      <c r="A443" s="68" t="s">
        <v>997</v>
      </c>
      <c r="B443" s="218" t="s">
        <v>601</v>
      </c>
      <c r="C443" s="218" t="s">
        <v>197</v>
      </c>
      <c r="D443" s="218" t="s">
        <v>120</v>
      </c>
      <c r="E443" s="218"/>
      <c r="F443" s="217"/>
      <c r="G443" s="344">
        <f>G444+G448</f>
        <v>95.35</v>
      </c>
      <c r="H443" s="344">
        <f>H444+H448</f>
        <v>95.35</v>
      </c>
      <c r="I443" s="102">
        <f t="shared" si="40"/>
        <v>100</v>
      </c>
      <c r="J443" s="125"/>
      <c r="K443" s="125"/>
      <c r="L443" s="125"/>
      <c r="M443" s="125"/>
      <c r="N443" s="125"/>
    </row>
    <row r="444" spans="1:14" s="131" customFormat="1" ht="31.5" x14ac:dyDescent="0.25">
      <c r="A444" s="215" t="s">
        <v>855</v>
      </c>
      <c r="B444" s="218" t="s">
        <v>636</v>
      </c>
      <c r="C444" s="218" t="s">
        <v>197</v>
      </c>
      <c r="D444" s="218" t="s">
        <v>120</v>
      </c>
      <c r="E444" s="218"/>
      <c r="F444" s="217"/>
      <c r="G444" s="344">
        <f>G445</f>
        <v>59.35</v>
      </c>
      <c r="H444" s="344">
        <f>H445</f>
        <v>59.35</v>
      </c>
      <c r="I444" s="102">
        <f t="shared" si="40"/>
        <v>100</v>
      </c>
      <c r="J444" s="125"/>
      <c r="K444" s="125"/>
      <c r="L444" s="125"/>
      <c r="M444" s="125"/>
      <c r="N444" s="125"/>
    </row>
    <row r="445" spans="1:14" s="131" customFormat="1" ht="47.25" x14ac:dyDescent="0.25">
      <c r="A445" s="215" t="s">
        <v>149</v>
      </c>
      <c r="B445" s="218" t="s">
        <v>636</v>
      </c>
      <c r="C445" s="218" t="s">
        <v>197</v>
      </c>
      <c r="D445" s="218" t="s">
        <v>120</v>
      </c>
      <c r="E445" s="218" t="s">
        <v>150</v>
      </c>
      <c r="F445" s="217"/>
      <c r="G445" s="344">
        <f>G446</f>
        <v>59.35</v>
      </c>
      <c r="H445" s="344">
        <f>H446</f>
        <v>59.35</v>
      </c>
      <c r="I445" s="102">
        <f t="shared" si="40"/>
        <v>100</v>
      </c>
      <c r="J445" s="125"/>
      <c r="K445" s="125"/>
      <c r="L445" s="125"/>
      <c r="M445" s="125"/>
      <c r="N445" s="125"/>
    </row>
    <row r="446" spans="1:14" s="131" customFormat="1" ht="15.75" x14ac:dyDescent="0.25">
      <c r="A446" s="215" t="s">
        <v>151</v>
      </c>
      <c r="B446" s="218" t="s">
        <v>636</v>
      </c>
      <c r="C446" s="218" t="s">
        <v>197</v>
      </c>
      <c r="D446" s="218" t="s">
        <v>120</v>
      </c>
      <c r="E446" s="218" t="s">
        <v>152</v>
      </c>
      <c r="F446" s="217"/>
      <c r="G446" s="344">
        <f>'Пр.4 Ведом23'!G1034</f>
        <v>59.35</v>
      </c>
      <c r="H446" s="344">
        <f>'Пр.4 Ведом23'!H1034</f>
        <v>59.35</v>
      </c>
      <c r="I446" s="102">
        <f t="shared" si="40"/>
        <v>100</v>
      </c>
      <c r="J446" s="125"/>
      <c r="K446" s="125"/>
      <c r="L446" s="125"/>
      <c r="M446" s="125"/>
      <c r="N446" s="125"/>
    </row>
    <row r="447" spans="1:14" s="131" customFormat="1" ht="31.5" x14ac:dyDescent="0.25">
      <c r="A447" s="26" t="s">
        <v>889</v>
      </c>
      <c r="B447" s="218" t="s">
        <v>636</v>
      </c>
      <c r="C447" s="218" t="s">
        <v>197</v>
      </c>
      <c r="D447" s="218" t="s">
        <v>120</v>
      </c>
      <c r="E447" s="218" t="s">
        <v>152</v>
      </c>
      <c r="F447" s="217" t="s">
        <v>890</v>
      </c>
      <c r="G447" s="344">
        <f>G446</f>
        <v>59.35</v>
      </c>
      <c r="H447" s="344">
        <f>H446</f>
        <v>59.35</v>
      </c>
      <c r="I447" s="102">
        <f t="shared" si="40"/>
        <v>100</v>
      </c>
      <c r="J447" s="125"/>
      <c r="K447" s="125"/>
      <c r="L447" s="125"/>
      <c r="M447" s="125"/>
      <c r="N447" s="125"/>
    </row>
    <row r="448" spans="1:14" s="75" customFormat="1" ht="31.5" x14ac:dyDescent="0.25">
      <c r="A448" s="215" t="s">
        <v>154</v>
      </c>
      <c r="B448" s="218" t="s">
        <v>602</v>
      </c>
      <c r="C448" s="218" t="s">
        <v>197</v>
      </c>
      <c r="D448" s="218" t="s">
        <v>120</v>
      </c>
      <c r="E448" s="218"/>
      <c r="F448" s="217"/>
      <c r="G448" s="344">
        <f>G449</f>
        <v>36</v>
      </c>
      <c r="H448" s="344">
        <f>H449</f>
        <v>36</v>
      </c>
      <c r="I448" s="102">
        <f t="shared" si="40"/>
        <v>100</v>
      </c>
      <c r="J448" s="125"/>
      <c r="K448" s="125"/>
      <c r="L448" s="125"/>
      <c r="M448" s="125"/>
      <c r="N448" s="125"/>
    </row>
    <row r="449" spans="1:14" s="75" customFormat="1" ht="47.25" x14ac:dyDescent="0.25">
      <c r="A449" s="215" t="s">
        <v>149</v>
      </c>
      <c r="B449" s="218" t="s">
        <v>602</v>
      </c>
      <c r="C449" s="218" t="s">
        <v>197</v>
      </c>
      <c r="D449" s="218" t="s">
        <v>120</v>
      </c>
      <c r="E449" s="218" t="s">
        <v>150</v>
      </c>
      <c r="F449" s="217"/>
      <c r="G449" s="344">
        <f>G450</f>
        <v>36</v>
      </c>
      <c r="H449" s="344">
        <f>H450</f>
        <v>36</v>
      </c>
      <c r="I449" s="102">
        <f t="shared" si="40"/>
        <v>100</v>
      </c>
      <c r="J449" s="125"/>
      <c r="K449" s="125"/>
      <c r="L449" s="125"/>
      <c r="M449" s="125"/>
      <c r="N449" s="125"/>
    </row>
    <row r="450" spans="1:14" s="75" customFormat="1" ht="21.2" customHeight="1" x14ac:dyDescent="0.25">
      <c r="A450" s="215" t="s">
        <v>151</v>
      </c>
      <c r="B450" s="218" t="s">
        <v>602</v>
      </c>
      <c r="C450" s="218" t="s">
        <v>197</v>
      </c>
      <c r="D450" s="218" t="s">
        <v>120</v>
      </c>
      <c r="E450" s="218" t="s">
        <v>152</v>
      </c>
      <c r="F450" s="217"/>
      <c r="G450" s="344">
        <f>'Пр.4 Ведом23'!G1037</f>
        <v>36</v>
      </c>
      <c r="H450" s="344">
        <f>'Пр.4 Ведом23'!H1037</f>
        <v>36</v>
      </c>
      <c r="I450" s="102">
        <f t="shared" si="40"/>
        <v>100</v>
      </c>
      <c r="J450" s="125"/>
      <c r="K450" s="125"/>
      <c r="L450" s="125"/>
      <c r="M450" s="125"/>
      <c r="N450" s="125"/>
    </row>
    <row r="451" spans="1:14" s="131" customFormat="1" ht="32.450000000000003" customHeight="1" x14ac:dyDescent="0.25">
      <c r="A451" s="26" t="s">
        <v>889</v>
      </c>
      <c r="B451" s="218" t="s">
        <v>602</v>
      </c>
      <c r="C451" s="218" t="s">
        <v>197</v>
      </c>
      <c r="D451" s="218" t="s">
        <v>120</v>
      </c>
      <c r="E451" s="218" t="s">
        <v>152</v>
      </c>
      <c r="F451" s="217" t="s">
        <v>890</v>
      </c>
      <c r="G451" s="344">
        <f>G450</f>
        <v>36</v>
      </c>
      <c r="H451" s="344">
        <f>H450</f>
        <v>36</v>
      </c>
      <c r="I451" s="102">
        <f t="shared" si="40"/>
        <v>100</v>
      </c>
      <c r="J451" s="125"/>
      <c r="K451" s="125"/>
      <c r="L451" s="125"/>
      <c r="M451" s="125"/>
      <c r="N451" s="125"/>
    </row>
    <row r="452" spans="1:14" s="75" customFormat="1" ht="31.5" hidden="1" x14ac:dyDescent="0.25">
      <c r="A452" s="215" t="s">
        <v>156</v>
      </c>
      <c r="B452" s="218" t="s">
        <v>726</v>
      </c>
      <c r="C452" s="218" t="s">
        <v>197</v>
      </c>
      <c r="D452" s="218" t="s">
        <v>81</v>
      </c>
      <c r="E452" s="218"/>
      <c r="F452" s="217"/>
      <c r="G452" s="344">
        <f>G453</f>
        <v>0</v>
      </c>
      <c r="H452" s="344">
        <f>H453</f>
        <v>0</v>
      </c>
      <c r="I452" s="102" t="e">
        <f t="shared" si="40"/>
        <v>#DIV/0!</v>
      </c>
      <c r="J452" s="125"/>
      <c r="K452" s="125"/>
      <c r="L452" s="125"/>
      <c r="M452" s="125"/>
      <c r="N452" s="125"/>
    </row>
    <row r="453" spans="1:14" s="75" customFormat="1" ht="47.25" hidden="1" x14ac:dyDescent="0.25">
      <c r="A453" s="215" t="s">
        <v>149</v>
      </c>
      <c r="B453" s="218" t="s">
        <v>726</v>
      </c>
      <c r="C453" s="218" t="s">
        <v>197</v>
      </c>
      <c r="D453" s="218" t="s">
        <v>81</v>
      </c>
      <c r="E453" s="218" t="s">
        <v>150</v>
      </c>
      <c r="F453" s="217"/>
      <c r="G453" s="344">
        <f>G454</f>
        <v>0</v>
      </c>
      <c r="H453" s="344">
        <f>H454</f>
        <v>0</v>
      </c>
      <c r="I453" s="102" t="e">
        <f t="shared" si="40"/>
        <v>#DIV/0!</v>
      </c>
      <c r="J453" s="125"/>
      <c r="K453" s="125"/>
      <c r="L453" s="125"/>
      <c r="M453" s="125"/>
      <c r="N453" s="125"/>
    </row>
    <row r="454" spans="1:14" s="75" customFormat="1" ht="15.75" hidden="1" x14ac:dyDescent="0.25">
      <c r="A454" s="215" t="s">
        <v>151</v>
      </c>
      <c r="B454" s="218" t="s">
        <v>726</v>
      </c>
      <c r="C454" s="218" t="s">
        <v>197</v>
      </c>
      <c r="D454" s="218" t="s">
        <v>81</v>
      </c>
      <c r="E454" s="218" t="s">
        <v>152</v>
      </c>
      <c r="F454" s="217"/>
      <c r="G454" s="344">
        <f>'Пр.4 Ведом23'!G986</f>
        <v>0</v>
      </c>
      <c r="H454" s="344">
        <f>'Пр.4 Ведом23'!H986</f>
        <v>0</v>
      </c>
      <c r="I454" s="102" t="e">
        <f t="shared" si="40"/>
        <v>#DIV/0!</v>
      </c>
      <c r="J454" s="125"/>
      <c r="K454" s="125"/>
      <c r="L454" s="125"/>
      <c r="M454" s="125"/>
      <c r="N454" s="125"/>
    </row>
    <row r="455" spans="1:14" s="131" customFormat="1" ht="31.5" hidden="1" x14ac:dyDescent="0.25">
      <c r="A455" s="26" t="s">
        <v>889</v>
      </c>
      <c r="B455" s="218" t="s">
        <v>726</v>
      </c>
      <c r="C455" s="218" t="s">
        <v>197</v>
      </c>
      <c r="D455" s="218" t="s">
        <v>81</v>
      </c>
      <c r="E455" s="218" t="s">
        <v>152</v>
      </c>
      <c r="F455" s="217" t="s">
        <v>890</v>
      </c>
      <c r="G455" s="344">
        <f>G454</f>
        <v>0</v>
      </c>
      <c r="H455" s="344">
        <f>H454</f>
        <v>0</v>
      </c>
      <c r="I455" s="102" t="e">
        <f t="shared" si="40"/>
        <v>#DIV/0!</v>
      </c>
      <c r="J455" s="125"/>
      <c r="K455" s="125"/>
      <c r="L455" s="125"/>
      <c r="M455" s="125"/>
      <c r="N455" s="125"/>
    </row>
    <row r="456" spans="1:14" s="131" customFormat="1" ht="30.75" hidden="1" customHeight="1" x14ac:dyDescent="0.25">
      <c r="A456" s="26" t="s">
        <v>1074</v>
      </c>
      <c r="B456" s="218" t="s">
        <v>1073</v>
      </c>
      <c r="C456" s="218" t="s">
        <v>197</v>
      </c>
      <c r="D456" s="218" t="s">
        <v>81</v>
      </c>
      <c r="E456" s="218"/>
      <c r="F456" s="217"/>
      <c r="G456" s="344">
        <f>G457</f>
        <v>0</v>
      </c>
      <c r="H456" s="344">
        <f>H457</f>
        <v>0</v>
      </c>
      <c r="I456" s="102" t="e">
        <f t="shared" si="40"/>
        <v>#DIV/0!</v>
      </c>
      <c r="J456" s="125"/>
      <c r="K456" s="125"/>
      <c r="L456" s="125"/>
      <c r="M456" s="125"/>
      <c r="N456" s="125"/>
    </row>
    <row r="457" spans="1:14" s="131" customFormat="1" ht="30.75" hidden="1" customHeight="1" x14ac:dyDescent="0.25">
      <c r="A457" s="26" t="s">
        <v>149</v>
      </c>
      <c r="B457" s="218" t="s">
        <v>1073</v>
      </c>
      <c r="C457" s="218" t="s">
        <v>197</v>
      </c>
      <c r="D457" s="218" t="s">
        <v>81</v>
      </c>
      <c r="E457" s="218" t="s">
        <v>150</v>
      </c>
      <c r="F457" s="217"/>
      <c r="G457" s="344">
        <f>G458</f>
        <v>0</v>
      </c>
      <c r="H457" s="344">
        <f>H458</f>
        <v>0</v>
      </c>
      <c r="I457" s="102" t="e">
        <f t="shared" si="40"/>
        <v>#DIV/0!</v>
      </c>
      <c r="J457" s="125"/>
      <c r="K457" s="125"/>
      <c r="L457" s="125"/>
      <c r="M457" s="125"/>
      <c r="N457" s="125"/>
    </row>
    <row r="458" spans="1:14" s="131" customFormat="1" ht="33.75" hidden="1" customHeight="1" x14ac:dyDescent="0.25">
      <c r="A458" s="26" t="s">
        <v>151</v>
      </c>
      <c r="B458" s="218" t="s">
        <v>1073</v>
      </c>
      <c r="C458" s="218" t="s">
        <v>197</v>
      </c>
      <c r="D458" s="218" t="s">
        <v>81</v>
      </c>
      <c r="E458" s="218" t="s">
        <v>152</v>
      </c>
      <c r="F458" s="217"/>
      <c r="G458" s="344">
        <f>'Пр.4 Ведом23'!G989</f>
        <v>0</v>
      </c>
      <c r="H458" s="344">
        <f>'Пр.4 Ведом23'!H989</f>
        <v>0</v>
      </c>
      <c r="I458" s="102" t="e">
        <f t="shared" si="40"/>
        <v>#DIV/0!</v>
      </c>
      <c r="J458" s="125"/>
      <c r="K458" s="125"/>
      <c r="L458" s="125"/>
      <c r="M458" s="125"/>
      <c r="N458" s="125"/>
    </row>
    <row r="459" spans="1:14" s="131" customFormat="1" ht="33" hidden="1" customHeight="1" x14ac:dyDescent="0.25">
      <c r="A459" s="26" t="s">
        <v>889</v>
      </c>
      <c r="B459" s="218" t="s">
        <v>1073</v>
      </c>
      <c r="C459" s="218" t="s">
        <v>197</v>
      </c>
      <c r="D459" s="218" t="s">
        <v>81</v>
      </c>
      <c r="E459" s="218" t="s">
        <v>152</v>
      </c>
      <c r="F459" s="217" t="s">
        <v>890</v>
      </c>
      <c r="G459" s="344">
        <f>G458</f>
        <v>0</v>
      </c>
      <c r="H459" s="344">
        <f>H458</f>
        <v>0</v>
      </c>
      <c r="I459" s="102" t="e">
        <f t="shared" si="40"/>
        <v>#DIV/0!</v>
      </c>
      <c r="J459" s="125"/>
      <c r="K459" s="125"/>
      <c r="L459" s="125"/>
      <c r="M459" s="125"/>
      <c r="N459" s="125"/>
    </row>
    <row r="460" spans="1:14" s="110" customFormat="1" ht="31.5" x14ac:dyDescent="0.25">
      <c r="A460" s="116" t="s">
        <v>380</v>
      </c>
      <c r="B460" s="117" t="s">
        <v>603</v>
      </c>
      <c r="C460" s="117" t="s">
        <v>197</v>
      </c>
      <c r="D460" s="218"/>
      <c r="E460" s="117"/>
      <c r="F460" s="217"/>
      <c r="G460" s="302">
        <f>G461</f>
        <v>745.12529999999992</v>
      </c>
      <c r="H460" s="567">
        <f>H461</f>
        <v>736.31870000000004</v>
      </c>
      <c r="I460" s="221">
        <f t="shared" si="40"/>
        <v>98.818104820759686</v>
      </c>
      <c r="J460" s="125"/>
      <c r="K460" s="125"/>
      <c r="L460" s="125"/>
      <c r="M460" s="125"/>
      <c r="N460" s="125"/>
    </row>
    <row r="461" spans="1:14" s="131" customFormat="1" ht="15.75" x14ac:dyDescent="0.25">
      <c r="A461" s="215" t="s">
        <v>196</v>
      </c>
      <c r="B461" s="218" t="s">
        <v>603</v>
      </c>
      <c r="C461" s="218" t="s">
        <v>197</v>
      </c>
      <c r="D461" s="218"/>
      <c r="E461" s="117"/>
      <c r="F461" s="217"/>
      <c r="G461" s="344">
        <f>G462+G471</f>
        <v>745.12529999999992</v>
      </c>
      <c r="H461" s="344">
        <f>H462+H471</f>
        <v>736.31870000000004</v>
      </c>
      <c r="I461" s="102">
        <f t="shared" si="40"/>
        <v>98.818104820759686</v>
      </c>
      <c r="J461" s="125"/>
      <c r="K461" s="125"/>
      <c r="L461" s="125"/>
      <c r="M461" s="125"/>
      <c r="N461" s="125"/>
    </row>
    <row r="462" spans="1:14" s="131" customFormat="1" ht="15.75" x14ac:dyDescent="0.25">
      <c r="A462" s="215" t="s">
        <v>198</v>
      </c>
      <c r="B462" s="218" t="s">
        <v>603</v>
      </c>
      <c r="C462" s="218" t="s">
        <v>197</v>
      </c>
      <c r="D462" s="218" t="s">
        <v>81</v>
      </c>
      <c r="E462" s="117"/>
      <c r="F462" s="217"/>
      <c r="G462" s="344">
        <f>G463+G467</f>
        <v>377.62970000000001</v>
      </c>
      <c r="H462" s="344">
        <f>H463+H467</f>
        <v>371.32310000000001</v>
      </c>
      <c r="I462" s="102">
        <f t="shared" si="40"/>
        <v>98.329951272370792</v>
      </c>
      <c r="J462" s="125"/>
      <c r="K462" s="125"/>
      <c r="L462" s="125"/>
      <c r="M462" s="125"/>
      <c r="N462" s="125"/>
    </row>
    <row r="463" spans="1:14" s="110" customFormat="1" ht="31.5" hidden="1" x14ac:dyDescent="0.25">
      <c r="A463" s="215" t="s">
        <v>276</v>
      </c>
      <c r="B463" s="218" t="s">
        <v>625</v>
      </c>
      <c r="C463" s="218" t="s">
        <v>197</v>
      </c>
      <c r="D463" s="218" t="s">
        <v>81</v>
      </c>
      <c r="E463" s="218"/>
      <c r="F463" s="217"/>
      <c r="G463" s="344">
        <f>G464</f>
        <v>0</v>
      </c>
      <c r="H463" s="344">
        <f>H464</f>
        <v>0</v>
      </c>
      <c r="I463" s="102" t="e">
        <f t="shared" si="40"/>
        <v>#DIV/0!</v>
      </c>
      <c r="J463" s="125"/>
      <c r="K463" s="125"/>
      <c r="L463" s="125"/>
      <c r="M463" s="125"/>
      <c r="N463" s="125"/>
    </row>
    <row r="464" spans="1:14" s="110" customFormat="1" ht="47.25" hidden="1" x14ac:dyDescent="0.25">
      <c r="A464" s="215" t="s">
        <v>149</v>
      </c>
      <c r="B464" s="218" t="s">
        <v>625</v>
      </c>
      <c r="C464" s="218" t="s">
        <v>197</v>
      </c>
      <c r="D464" s="218" t="s">
        <v>81</v>
      </c>
      <c r="E464" s="218" t="s">
        <v>150</v>
      </c>
      <c r="F464" s="217"/>
      <c r="G464" s="344">
        <f>G465</f>
        <v>0</v>
      </c>
      <c r="H464" s="344">
        <f>H465</f>
        <v>0</v>
      </c>
      <c r="I464" s="102" t="e">
        <f t="shared" si="40"/>
        <v>#DIV/0!</v>
      </c>
      <c r="J464" s="125"/>
      <c r="K464" s="125"/>
      <c r="L464" s="125"/>
      <c r="M464" s="125"/>
      <c r="N464" s="125"/>
    </row>
    <row r="465" spans="1:14" s="110" customFormat="1" ht="15.75" hidden="1" x14ac:dyDescent="0.25">
      <c r="A465" s="215" t="s">
        <v>151</v>
      </c>
      <c r="B465" s="218" t="s">
        <v>625</v>
      </c>
      <c r="C465" s="218" t="s">
        <v>197</v>
      </c>
      <c r="D465" s="218" t="s">
        <v>81</v>
      </c>
      <c r="E465" s="218" t="s">
        <v>152</v>
      </c>
      <c r="F465" s="217"/>
      <c r="G465" s="344">
        <f>'Пр.4 Ведом23'!G993</f>
        <v>0</v>
      </c>
      <c r="H465" s="344">
        <f>'Пр.4 Ведом23'!H993</f>
        <v>0</v>
      </c>
      <c r="I465" s="102" t="e">
        <f t="shared" ref="I465:I528" si="41">H465/G465*100</f>
        <v>#DIV/0!</v>
      </c>
      <c r="J465" s="125"/>
      <c r="K465" s="125"/>
      <c r="L465" s="125"/>
      <c r="M465" s="125"/>
      <c r="N465" s="125"/>
    </row>
    <row r="466" spans="1:14" s="131" customFormat="1" ht="31.5" hidden="1" x14ac:dyDescent="0.25">
      <c r="A466" s="26" t="s">
        <v>889</v>
      </c>
      <c r="B466" s="218" t="s">
        <v>625</v>
      </c>
      <c r="C466" s="218" t="s">
        <v>197</v>
      </c>
      <c r="D466" s="218" t="s">
        <v>81</v>
      </c>
      <c r="E466" s="218" t="s">
        <v>152</v>
      </c>
      <c r="F466" s="217" t="s">
        <v>890</v>
      </c>
      <c r="G466" s="344">
        <f>G465</f>
        <v>0</v>
      </c>
      <c r="H466" s="344">
        <f>H465</f>
        <v>0</v>
      </c>
      <c r="I466" s="102" t="e">
        <f t="shared" si="41"/>
        <v>#DIV/0!</v>
      </c>
      <c r="J466" s="125"/>
      <c r="K466" s="125"/>
      <c r="L466" s="125"/>
      <c r="M466" s="125"/>
      <c r="N466" s="125"/>
    </row>
    <row r="467" spans="1:14" s="110" customFormat="1" ht="31.5" x14ac:dyDescent="0.25">
      <c r="A467" s="26" t="s">
        <v>261</v>
      </c>
      <c r="B467" s="218" t="s">
        <v>604</v>
      </c>
      <c r="C467" s="218" t="s">
        <v>197</v>
      </c>
      <c r="D467" s="218" t="s">
        <v>81</v>
      </c>
      <c r="E467" s="218"/>
      <c r="F467" s="217"/>
      <c r="G467" s="344">
        <f>G468</f>
        <v>377.62970000000001</v>
      </c>
      <c r="H467" s="344">
        <f>H468</f>
        <v>371.32310000000001</v>
      </c>
      <c r="I467" s="102">
        <f t="shared" si="41"/>
        <v>98.329951272370792</v>
      </c>
      <c r="J467" s="125"/>
      <c r="K467" s="125"/>
      <c r="L467" s="125"/>
      <c r="M467" s="125"/>
      <c r="N467" s="125"/>
    </row>
    <row r="468" spans="1:14" s="110" customFormat="1" ht="47.25" x14ac:dyDescent="0.25">
      <c r="A468" s="20" t="s">
        <v>149</v>
      </c>
      <c r="B468" s="218" t="s">
        <v>604</v>
      </c>
      <c r="C468" s="218" t="s">
        <v>197</v>
      </c>
      <c r="D468" s="218" t="s">
        <v>81</v>
      </c>
      <c r="E468" s="218" t="s">
        <v>150</v>
      </c>
      <c r="F468" s="217"/>
      <c r="G468" s="344">
        <f>G469</f>
        <v>377.62970000000001</v>
      </c>
      <c r="H468" s="344">
        <f>H469</f>
        <v>371.32310000000001</v>
      </c>
      <c r="I468" s="102">
        <f t="shared" si="41"/>
        <v>98.329951272370792</v>
      </c>
      <c r="J468" s="125"/>
      <c r="K468" s="125"/>
      <c r="L468" s="125"/>
      <c r="M468" s="125"/>
      <c r="N468" s="125"/>
    </row>
    <row r="469" spans="1:14" s="110" customFormat="1" ht="15.75" x14ac:dyDescent="0.25">
      <c r="A469" s="20" t="s">
        <v>151</v>
      </c>
      <c r="B469" s="218" t="s">
        <v>604</v>
      </c>
      <c r="C469" s="218" t="s">
        <v>197</v>
      </c>
      <c r="D469" s="218" t="s">
        <v>81</v>
      </c>
      <c r="E469" s="218" t="s">
        <v>152</v>
      </c>
      <c r="F469" s="217"/>
      <c r="G469" s="344">
        <f>'Пр.4 Ведом23'!G996</f>
        <v>377.62970000000001</v>
      </c>
      <c r="H469" s="344">
        <f>'Пр.4 Ведом23'!H996</f>
        <v>371.32310000000001</v>
      </c>
      <c r="I469" s="102">
        <f t="shared" si="41"/>
        <v>98.329951272370792</v>
      </c>
      <c r="J469" s="125"/>
      <c r="K469" s="125"/>
      <c r="L469" s="125"/>
      <c r="M469" s="125"/>
      <c r="N469" s="125"/>
    </row>
    <row r="470" spans="1:14" s="131" customFormat="1" ht="31.5" x14ac:dyDescent="0.25">
      <c r="A470" s="26" t="s">
        <v>889</v>
      </c>
      <c r="B470" s="218" t="s">
        <v>604</v>
      </c>
      <c r="C470" s="218" t="s">
        <v>197</v>
      </c>
      <c r="D470" s="218" t="s">
        <v>81</v>
      </c>
      <c r="E470" s="218" t="s">
        <v>152</v>
      </c>
      <c r="F470" s="217" t="s">
        <v>890</v>
      </c>
      <c r="G470" s="344">
        <f>G469</f>
        <v>377.62970000000001</v>
      </c>
      <c r="H470" s="344">
        <f>H469</f>
        <v>371.32310000000001</v>
      </c>
      <c r="I470" s="102">
        <f t="shared" si="41"/>
        <v>98.329951272370792</v>
      </c>
      <c r="J470" s="125"/>
      <c r="K470" s="125"/>
      <c r="L470" s="125"/>
      <c r="M470" s="125"/>
      <c r="N470" s="125"/>
    </row>
    <row r="471" spans="1:14" s="131" customFormat="1" ht="15.75" x14ac:dyDescent="0.25">
      <c r="A471" s="68" t="s">
        <v>997</v>
      </c>
      <c r="B471" s="218" t="s">
        <v>603</v>
      </c>
      <c r="C471" s="218" t="s">
        <v>197</v>
      </c>
      <c r="D471" s="218" t="s">
        <v>120</v>
      </c>
      <c r="E471" s="218"/>
      <c r="F471" s="217"/>
      <c r="G471" s="344">
        <f t="shared" ref="G471:H473" si="42">G472</f>
        <v>367.49559999999997</v>
      </c>
      <c r="H471" s="344">
        <f t="shared" si="42"/>
        <v>364.99560000000002</v>
      </c>
      <c r="I471" s="102">
        <f t="shared" si="41"/>
        <v>99.319719746304457</v>
      </c>
      <c r="J471" s="125"/>
      <c r="K471" s="125"/>
      <c r="L471" s="125"/>
      <c r="M471" s="125"/>
      <c r="N471" s="125"/>
    </row>
    <row r="472" spans="1:14" s="131" customFormat="1" ht="31.5" x14ac:dyDescent="0.25">
      <c r="A472" s="26" t="s">
        <v>261</v>
      </c>
      <c r="B472" s="218" t="s">
        <v>604</v>
      </c>
      <c r="C472" s="218" t="s">
        <v>197</v>
      </c>
      <c r="D472" s="218" t="s">
        <v>120</v>
      </c>
      <c r="E472" s="218"/>
      <c r="F472" s="217"/>
      <c r="G472" s="344">
        <f t="shared" si="42"/>
        <v>367.49559999999997</v>
      </c>
      <c r="H472" s="344">
        <f t="shared" si="42"/>
        <v>364.99560000000002</v>
      </c>
      <c r="I472" s="102">
        <f t="shared" si="41"/>
        <v>99.319719746304457</v>
      </c>
      <c r="J472" s="125"/>
      <c r="K472" s="125"/>
      <c r="L472" s="125"/>
      <c r="M472" s="125"/>
      <c r="N472" s="125"/>
    </row>
    <row r="473" spans="1:14" s="131" customFormat="1" ht="47.25" x14ac:dyDescent="0.25">
      <c r="A473" s="20" t="s">
        <v>149</v>
      </c>
      <c r="B473" s="218" t="s">
        <v>604</v>
      </c>
      <c r="C473" s="218" t="s">
        <v>197</v>
      </c>
      <c r="D473" s="218" t="s">
        <v>120</v>
      </c>
      <c r="E473" s="218" t="s">
        <v>150</v>
      </c>
      <c r="F473" s="217"/>
      <c r="G473" s="344">
        <f t="shared" si="42"/>
        <v>367.49559999999997</v>
      </c>
      <c r="H473" s="344">
        <f t="shared" si="42"/>
        <v>364.99560000000002</v>
      </c>
      <c r="I473" s="102">
        <f t="shared" si="41"/>
        <v>99.319719746304457</v>
      </c>
      <c r="J473" s="125"/>
      <c r="K473" s="125"/>
      <c r="L473" s="125"/>
      <c r="M473" s="125"/>
      <c r="N473" s="125"/>
    </row>
    <row r="474" spans="1:14" s="131" customFormat="1" ht="15.75" x14ac:dyDescent="0.25">
      <c r="A474" s="20" t="s">
        <v>151</v>
      </c>
      <c r="B474" s="218" t="s">
        <v>604</v>
      </c>
      <c r="C474" s="218" t="s">
        <v>197</v>
      </c>
      <c r="D474" s="218" t="s">
        <v>120</v>
      </c>
      <c r="E474" s="218" t="s">
        <v>152</v>
      </c>
      <c r="F474" s="217"/>
      <c r="G474" s="344">
        <f>'Пр.4 Ведом23'!G1041</f>
        <v>367.49559999999997</v>
      </c>
      <c r="H474" s="344">
        <f>'Пр.4 Ведом23'!H1041</f>
        <v>364.99560000000002</v>
      </c>
      <c r="I474" s="102">
        <f t="shared" si="41"/>
        <v>99.319719746304457</v>
      </c>
      <c r="J474" s="125"/>
      <c r="K474" s="125"/>
      <c r="L474" s="125"/>
      <c r="M474" s="125"/>
      <c r="N474" s="125"/>
    </row>
    <row r="475" spans="1:14" s="131" customFormat="1" ht="31.5" x14ac:dyDescent="0.25">
      <c r="A475" s="26" t="s">
        <v>889</v>
      </c>
      <c r="B475" s="218" t="s">
        <v>604</v>
      </c>
      <c r="C475" s="218" t="s">
        <v>197</v>
      </c>
      <c r="D475" s="218" t="s">
        <v>120</v>
      </c>
      <c r="E475" s="218" t="s">
        <v>152</v>
      </c>
      <c r="F475" s="217" t="s">
        <v>890</v>
      </c>
      <c r="G475" s="344">
        <f>G474</f>
        <v>367.49559999999997</v>
      </c>
      <c r="H475" s="344">
        <f>H474</f>
        <v>364.99560000000002</v>
      </c>
      <c r="I475" s="102">
        <f t="shared" si="41"/>
        <v>99.319719746304457</v>
      </c>
      <c r="J475" s="125"/>
      <c r="K475" s="125"/>
      <c r="L475" s="125"/>
      <c r="M475" s="125"/>
      <c r="N475" s="125"/>
    </row>
    <row r="476" spans="1:14" s="110" customFormat="1" ht="47.25" x14ac:dyDescent="0.25">
      <c r="A476" s="116" t="s">
        <v>349</v>
      </c>
      <c r="B476" s="117" t="s">
        <v>605</v>
      </c>
      <c r="C476" s="117"/>
      <c r="D476" s="117"/>
      <c r="E476" s="117"/>
      <c r="F476" s="6"/>
      <c r="G476" s="302">
        <f>G477</f>
        <v>1128.9000000000001</v>
      </c>
      <c r="H476" s="567">
        <f>H477</f>
        <v>1071.71027</v>
      </c>
      <c r="I476" s="221">
        <f t="shared" si="41"/>
        <v>94.934030472141018</v>
      </c>
      <c r="J476" s="125"/>
      <c r="K476" s="125"/>
      <c r="L476" s="125"/>
      <c r="M476" s="125"/>
      <c r="N476" s="125"/>
    </row>
    <row r="477" spans="1:14" s="131" customFormat="1" ht="15.75" x14ac:dyDescent="0.25">
      <c r="A477" s="215" t="s">
        <v>196</v>
      </c>
      <c r="B477" s="218" t="s">
        <v>605</v>
      </c>
      <c r="C477" s="218" t="s">
        <v>197</v>
      </c>
      <c r="D477" s="218"/>
      <c r="E477" s="117"/>
      <c r="F477" s="6"/>
      <c r="G477" s="344">
        <f>G478+G483</f>
        <v>1128.9000000000001</v>
      </c>
      <c r="H477" s="344">
        <f>H478+H483</f>
        <v>1071.71027</v>
      </c>
      <c r="I477" s="102">
        <f t="shared" si="41"/>
        <v>94.934030472141018</v>
      </c>
      <c r="J477" s="125"/>
      <c r="K477" s="125"/>
      <c r="L477" s="125"/>
      <c r="M477" s="125"/>
      <c r="N477" s="125"/>
    </row>
    <row r="478" spans="1:14" s="131" customFormat="1" ht="15.75" x14ac:dyDescent="0.25">
      <c r="A478" s="215" t="s">
        <v>198</v>
      </c>
      <c r="B478" s="218" t="s">
        <v>605</v>
      </c>
      <c r="C478" s="218" t="s">
        <v>197</v>
      </c>
      <c r="D478" s="218" t="s">
        <v>81</v>
      </c>
      <c r="E478" s="117"/>
      <c r="F478" s="6"/>
      <c r="G478" s="344">
        <f t="shared" ref="G478:H480" si="43">G479</f>
        <v>417.5</v>
      </c>
      <c r="H478" s="344">
        <f t="shared" si="43"/>
        <v>360.31027</v>
      </c>
      <c r="I478" s="102">
        <f t="shared" si="41"/>
        <v>86.301861077844308</v>
      </c>
      <c r="J478" s="125"/>
      <c r="K478" s="125"/>
      <c r="L478" s="125"/>
      <c r="M478" s="125"/>
      <c r="N478" s="125"/>
    </row>
    <row r="479" spans="1:14" s="110" customFormat="1" ht="63" x14ac:dyDescent="0.25">
      <c r="A479" s="215" t="s">
        <v>852</v>
      </c>
      <c r="B479" s="218" t="s">
        <v>859</v>
      </c>
      <c r="C479" s="218" t="s">
        <v>197</v>
      </c>
      <c r="D479" s="218" t="s">
        <v>81</v>
      </c>
      <c r="E479" s="218"/>
      <c r="F479" s="217"/>
      <c r="G479" s="344">
        <f t="shared" si="43"/>
        <v>417.5</v>
      </c>
      <c r="H479" s="344">
        <f t="shared" si="43"/>
        <v>360.31027</v>
      </c>
      <c r="I479" s="102">
        <f t="shared" si="41"/>
        <v>86.301861077844308</v>
      </c>
      <c r="J479" s="125"/>
      <c r="K479" s="125"/>
      <c r="L479" s="125"/>
      <c r="M479" s="125"/>
      <c r="N479" s="125"/>
    </row>
    <row r="480" spans="1:14" s="110" customFormat="1" ht="47.25" x14ac:dyDescent="0.25">
      <c r="A480" s="215" t="s">
        <v>149</v>
      </c>
      <c r="B480" s="218" t="s">
        <v>859</v>
      </c>
      <c r="C480" s="218" t="s">
        <v>197</v>
      </c>
      <c r="D480" s="218" t="s">
        <v>81</v>
      </c>
      <c r="E480" s="218" t="s">
        <v>150</v>
      </c>
      <c r="F480" s="217"/>
      <c r="G480" s="344">
        <f t="shared" si="43"/>
        <v>417.5</v>
      </c>
      <c r="H480" s="344">
        <f t="shared" si="43"/>
        <v>360.31027</v>
      </c>
      <c r="I480" s="102">
        <f t="shared" si="41"/>
        <v>86.301861077844308</v>
      </c>
      <c r="J480" s="125"/>
      <c r="K480" s="125"/>
      <c r="L480" s="125"/>
      <c r="M480" s="125"/>
      <c r="N480" s="125"/>
    </row>
    <row r="481" spans="1:14" s="110" customFormat="1" ht="15.75" x14ac:dyDescent="0.25">
      <c r="A481" s="215" t="s">
        <v>151</v>
      </c>
      <c r="B481" s="218" t="s">
        <v>859</v>
      </c>
      <c r="C481" s="218" t="s">
        <v>197</v>
      </c>
      <c r="D481" s="218" t="s">
        <v>81</v>
      </c>
      <c r="E481" s="218" t="s">
        <v>152</v>
      </c>
      <c r="F481" s="217"/>
      <c r="G481" s="344">
        <f>'Пр.4 Ведом23'!G1000</f>
        <v>417.5</v>
      </c>
      <c r="H481" s="344">
        <f>'Пр.4 Ведом23'!H1000</f>
        <v>360.31027</v>
      </c>
      <c r="I481" s="102">
        <f t="shared" si="41"/>
        <v>86.301861077844308</v>
      </c>
      <c r="J481" s="125"/>
      <c r="K481" s="125"/>
      <c r="L481" s="125"/>
      <c r="M481" s="125"/>
      <c r="N481" s="125"/>
    </row>
    <row r="482" spans="1:14" s="131" customFormat="1" ht="31.5" x14ac:dyDescent="0.25">
      <c r="A482" s="26" t="s">
        <v>889</v>
      </c>
      <c r="B482" s="218" t="s">
        <v>859</v>
      </c>
      <c r="C482" s="218" t="s">
        <v>197</v>
      </c>
      <c r="D482" s="218" t="s">
        <v>81</v>
      </c>
      <c r="E482" s="218" t="s">
        <v>152</v>
      </c>
      <c r="F482" s="217" t="s">
        <v>890</v>
      </c>
      <c r="G482" s="344">
        <f>G481</f>
        <v>417.5</v>
      </c>
      <c r="H482" s="344">
        <f>H481</f>
        <v>360.31027</v>
      </c>
      <c r="I482" s="102">
        <f t="shared" si="41"/>
        <v>86.301861077844308</v>
      </c>
      <c r="J482" s="125"/>
      <c r="K482" s="125"/>
      <c r="L482" s="125"/>
      <c r="M482" s="125"/>
      <c r="N482" s="125"/>
    </row>
    <row r="483" spans="1:14" s="131" customFormat="1" ht="15.75" x14ac:dyDescent="0.25">
      <c r="A483" s="68" t="s">
        <v>997</v>
      </c>
      <c r="B483" s="218" t="s">
        <v>605</v>
      </c>
      <c r="C483" s="218" t="s">
        <v>197</v>
      </c>
      <c r="D483" s="218" t="s">
        <v>120</v>
      </c>
      <c r="E483" s="218"/>
      <c r="F483" s="217"/>
      <c r="G483" s="344">
        <f t="shared" ref="G483:H485" si="44">G484</f>
        <v>711.4</v>
      </c>
      <c r="H483" s="344">
        <f t="shared" si="44"/>
        <v>711.4</v>
      </c>
      <c r="I483" s="102">
        <f t="shared" si="41"/>
        <v>100</v>
      </c>
      <c r="J483" s="125"/>
      <c r="K483" s="125"/>
      <c r="L483" s="125"/>
      <c r="M483" s="125"/>
      <c r="N483" s="125"/>
    </row>
    <row r="484" spans="1:14" s="131" customFormat="1" ht="63" x14ac:dyDescent="0.25">
      <c r="A484" s="215" t="s">
        <v>852</v>
      </c>
      <c r="B484" s="218" t="s">
        <v>859</v>
      </c>
      <c r="C484" s="218" t="s">
        <v>197</v>
      </c>
      <c r="D484" s="218" t="s">
        <v>120</v>
      </c>
      <c r="E484" s="218"/>
      <c r="F484" s="217"/>
      <c r="G484" s="344">
        <f t="shared" si="44"/>
        <v>711.4</v>
      </c>
      <c r="H484" s="344">
        <f t="shared" si="44"/>
        <v>711.4</v>
      </c>
      <c r="I484" s="102">
        <f t="shared" si="41"/>
        <v>100</v>
      </c>
      <c r="J484" s="125"/>
      <c r="K484" s="125"/>
      <c r="L484" s="125"/>
      <c r="M484" s="125"/>
      <c r="N484" s="125"/>
    </row>
    <row r="485" spans="1:14" s="131" customFormat="1" ht="47.25" x14ac:dyDescent="0.25">
      <c r="A485" s="215" t="s">
        <v>149</v>
      </c>
      <c r="B485" s="218" t="s">
        <v>859</v>
      </c>
      <c r="C485" s="218" t="s">
        <v>197</v>
      </c>
      <c r="D485" s="218" t="s">
        <v>120</v>
      </c>
      <c r="E485" s="218" t="s">
        <v>150</v>
      </c>
      <c r="F485" s="217"/>
      <c r="G485" s="344">
        <f t="shared" si="44"/>
        <v>711.4</v>
      </c>
      <c r="H485" s="344">
        <f t="shared" si="44"/>
        <v>711.4</v>
      </c>
      <c r="I485" s="102">
        <f t="shared" si="41"/>
        <v>100</v>
      </c>
      <c r="J485" s="125"/>
      <c r="K485" s="125"/>
      <c r="L485" s="125"/>
      <c r="M485" s="125"/>
      <c r="N485" s="125"/>
    </row>
    <row r="486" spans="1:14" s="131" customFormat="1" ht="15.75" x14ac:dyDescent="0.25">
      <c r="A486" s="215" t="s">
        <v>151</v>
      </c>
      <c r="B486" s="218" t="s">
        <v>859</v>
      </c>
      <c r="C486" s="218" t="s">
        <v>197</v>
      </c>
      <c r="D486" s="218" t="s">
        <v>120</v>
      </c>
      <c r="E486" s="218" t="s">
        <v>152</v>
      </c>
      <c r="F486" s="217"/>
      <c r="G486" s="344">
        <f>'Пр.4 Ведом23'!G1045</f>
        <v>711.4</v>
      </c>
      <c r="H486" s="344">
        <f>'Пр.4 Ведом23'!H1045</f>
        <v>711.4</v>
      </c>
      <c r="I486" s="102">
        <f t="shared" si="41"/>
        <v>100</v>
      </c>
      <c r="J486" s="125"/>
      <c r="K486" s="125"/>
      <c r="L486" s="125"/>
      <c r="M486" s="125"/>
      <c r="N486" s="125"/>
    </row>
    <row r="487" spans="1:14" s="131" customFormat="1" ht="31.5" x14ac:dyDescent="0.25">
      <c r="A487" s="26" t="s">
        <v>889</v>
      </c>
      <c r="B487" s="218" t="s">
        <v>859</v>
      </c>
      <c r="C487" s="218" t="s">
        <v>197</v>
      </c>
      <c r="D487" s="218" t="s">
        <v>120</v>
      </c>
      <c r="E487" s="218" t="s">
        <v>152</v>
      </c>
      <c r="F487" s="217" t="s">
        <v>890</v>
      </c>
      <c r="G487" s="344">
        <f>G486</f>
        <v>711.4</v>
      </c>
      <c r="H487" s="344">
        <f>H486</f>
        <v>711.4</v>
      </c>
      <c r="I487" s="102">
        <f t="shared" si="41"/>
        <v>100</v>
      </c>
      <c r="J487" s="125"/>
      <c r="K487" s="125"/>
      <c r="L487" s="125"/>
      <c r="M487" s="125"/>
      <c r="N487" s="125"/>
    </row>
    <row r="488" spans="1:14" s="131" customFormat="1" ht="31.5" x14ac:dyDescent="0.25">
      <c r="A488" s="30" t="s">
        <v>382</v>
      </c>
      <c r="B488" s="6" t="s">
        <v>606</v>
      </c>
      <c r="C488" s="117"/>
      <c r="D488" s="218"/>
      <c r="E488" s="117"/>
      <c r="F488" s="217"/>
      <c r="G488" s="302">
        <f t="shared" ref="G488:H490" si="45">G489</f>
        <v>3500</v>
      </c>
      <c r="H488" s="567">
        <f t="shared" si="45"/>
        <v>3497.8330000000001</v>
      </c>
      <c r="I488" s="221">
        <f t="shared" si="41"/>
        <v>99.93808571428572</v>
      </c>
      <c r="J488" s="125"/>
      <c r="K488" s="125"/>
      <c r="L488" s="125"/>
      <c r="M488" s="125"/>
      <c r="N488" s="125"/>
    </row>
    <row r="489" spans="1:14" s="131" customFormat="1" ht="15.75" x14ac:dyDescent="0.25">
      <c r="A489" s="215" t="s">
        <v>196</v>
      </c>
      <c r="B489" s="217" t="s">
        <v>606</v>
      </c>
      <c r="C489" s="218" t="s">
        <v>197</v>
      </c>
      <c r="D489" s="218"/>
      <c r="E489" s="117"/>
      <c r="F489" s="217"/>
      <c r="G489" s="344">
        <f t="shared" si="45"/>
        <v>3500</v>
      </c>
      <c r="H489" s="344">
        <f t="shared" si="45"/>
        <v>3497.8330000000001</v>
      </c>
      <c r="I489" s="102">
        <f t="shared" si="41"/>
        <v>99.93808571428572</v>
      </c>
      <c r="J489" s="125"/>
      <c r="K489" s="125"/>
      <c r="L489" s="125"/>
      <c r="M489" s="125"/>
      <c r="N489" s="125"/>
    </row>
    <row r="490" spans="1:14" s="131" customFormat="1" ht="31.5" x14ac:dyDescent="0.25">
      <c r="A490" s="215" t="s">
        <v>200</v>
      </c>
      <c r="B490" s="217" t="s">
        <v>606</v>
      </c>
      <c r="C490" s="218" t="s">
        <v>197</v>
      </c>
      <c r="D490" s="218" t="s">
        <v>129</v>
      </c>
      <c r="E490" s="117"/>
      <c r="F490" s="217"/>
      <c r="G490" s="344">
        <f t="shared" si="45"/>
        <v>3500</v>
      </c>
      <c r="H490" s="344">
        <f t="shared" si="45"/>
        <v>3497.8330000000001</v>
      </c>
      <c r="I490" s="102">
        <f t="shared" si="41"/>
        <v>99.93808571428572</v>
      </c>
      <c r="J490" s="125"/>
      <c r="K490" s="125"/>
      <c r="L490" s="125"/>
      <c r="M490" s="125"/>
      <c r="N490" s="125"/>
    </row>
    <row r="491" spans="1:14" s="131" customFormat="1" ht="31.5" x14ac:dyDescent="0.25">
      <c r="A491" s="19" t="s">
        <v>383</v>
      </c>
      <c r="B491" s="217" t="s">
        <v>607</v>
      </c>
      <c r="C491" s="218" t="s">
        <v>197</v>
      </c>
      <c r="D491" s="218" t="s">
        <v>129</v>
      </c>
      <c r="E491" s="218"/>
      <c r="F491" s="217"/>
      <c r="G491" s="344">
        <f>G492+G495</f>
        <v>3500</v>
      </c>
      <c r="H491" s="344">
        <f>H492+H495</f>
        <v>3497.8330000000001</v>
      </c>
      <c r="I491" s="102">
        <f t="shared" si="41"/>
        <v>99.93808571428572</v>
      </c>
      <c r="J491" s="125"/>
      <c r="K491" s="125"/>
      <c r="L491" s="125"/>
      <c r="M491" s="125"/>
      <c r="N491" s="125"/>
    </row>
    <row r="492" spans="1:14" s="131" customFormat="1" ht="78.75" x14ac:dyDescent="0.25">
      <c r="A492" s="215" t="s">
        <v>84</v>
      </c>
      <c r="B492" s="217" t="s">
        <v>607</v>
      </c>
      <c r="C492" s="218" t="s">
        <v>197</v>
      </c>
      <c r="D492" s="218" t="s">
        <v>129</v>
      </c>
      <c r="E492" s="218" t="s">
        <v>85</v>
      </c>
      <c r="F492" s="217"/>
      <c r="G492" s="344">
        <f>G493</f>
        <v>2943.08</v>
      </c>
      <c r="H492" s="344">
        <f>H493</f>
        <v>2943.08</v>
      </c>
      <c r="I492" s="102">
        <f t="shared" si="41"/>
        <v>100</v>
      </c>
      <c r="J492" s="125"/>
      <c r="K492" s="125"/>
      <c r="L492" s="125"/>
      <c r="M492" s="125"/>
      <c r="N492" s="125"/>
    </row>
    <row r="493" spans="1:14" s="131" customFormat="1" ht="31.5" x14ac:dyDescent="0.25">
      <c r="A493" s="215" t="s">
        <v>168</v>
      </c>
      <c r="B493" s="217" t="s">
        <v>607</v>
      </c>
      <c r="C493" s="218" t="s">
        <v>197</v>
      </c>
      <c r="D493" s="218" t="s">
        <v>129</v>
      </c>
      <c r="E493" s="218" t="s">
        <v>117</v>
      </c>
      <c r="F493" s="217"/>
      <c r="G493" s="344">
        <f>'Пр.4 Ведом23'!G1090</f>
        <v>2943.08</v>
      </c>
      <c r="H493" s="344">
        <f>'Пр.4 Ведом23'!H1090</f>
        <v>2943.08</v>
      </c>
      <c r="I493" s="102">
        <f t="shared" si="41"/>
        <v>100</v>
      </c>
      <c r="J493" s="125"/>
      <c r="K493" s="125"/>
      <c r="L493" s="125"/>
      <c r="M493" s="125"/>
      <c r="N493" s="125"/>
    </row>
    <row r="494" spans="1:14" s="131" customFormat="1" ht="31.5" x14ac:dyDescent="0.25">
      <c r="A494" s="26" t="s">
        <v>889</v>
      </c>
      <c r="B494" s="217" t="s">
        <v>607</v>
      </c>
      <c r="C494" s="218" t="s">
        <v>197</v>
      </c>
      <c r="D494" s="218" t="s">
        <v>129</v>
      </c>
      <c r="E494" s="218" t="s">
        <v>117</v>
      </c>
      <c r="F494" s="217" t="s">
        <v>890</v>
      </c>
      <c r="G494" s="344">
        <f>G493</f>
        <v>2943.08</v>
      </c>
      <c r="H494" s="344">
        <f>H493</f>
        <v>2943.08</v>
      </c>
      <c r="I494" s="102">
        <f t="shared" si="41"/>
        <v>100</v>
      </c>
      <c r="J494" s="125"/>
      <c r="K494" s="125"/>
      <c r="L494" s="125"/>
      <c r="M494" s="125"/>
      <c r="N494" s="125"/>
    </row>
    <row r="495" spans="1:14" s="131" customFormat="1" ht="31.5" x14ac:dyDescent="0.25">
      <c r="A495" s="19" t="s">
        <v>88</v>
      </c>
      <c r="B495" s="217" t="s">
        <v>607</v>
      </c>
      <c r="C495" s="218" t="s">
        <v>197</v>
      </c>
      <c r="D495" s="218" t="s">
        <v>129</v>
      </c>
      <c r="E495" s="218" t="s">
        <v>89</v>
      </c>
      <c r="F495" s="217"/>
      <c r="G495" s="344">
        <f>G496</f>
        <v>556.91999999999996</v>
      </c>
      <c r="H495" s="344">
        <f>H496</f>
        <v>554.75300000000004</v>
      </c>
      <c r="I495" s="102">
        <f t="shared" si="41"/>
        <v>99.610895640307419</v>
      </c>
      <c r="J495" s="125"/>
      <c r="K495" s="125"/>
      <c r="L495" s="125"/>
      <c r="M495" s="125"/>
      <c r="N495" s="125"/>
    </row>
    <row r="496" spans="1:14" s="131" customFormat="1" ht="47.25" x14ac:dyDescent="0.25">
      <c r="A496" s="19" t="s">
        <v>90</v>
      </c>
      <c r="B496" s="217" t="s">
        <v>607</v>
      </c>
      <c r="C496" s="218" t="s">
        <v>197</v>
      </c>
      <c r="D496" s="218" t="s">
        <v>129</v>
      </c>
      <c r="E496" s="218" t="s">
        <v>91</v>
      </c>
      <c r="F496" s="217"/>
      <c r="G496" s="344">
        <f>'Пр.4 Ведом23'!G1092</f>
        <v>556.91999999999996</v>
      </c>
      <c r="H496" s="344">
        <f>'Пр.4 Ведом23'!H1092</f>
        <v>554.75300000000004</v>
      </c>
      <c r="I496" s="102">
        <f t="shared" si="41"/>
        <v>99.610895640307419</v>
      </c>
      <c r="J496" s="125"/>
      <c r="K496" s="125"/>
      <c r="L496" s="125"/>
      <c r="M496" s="125"/>
      <c r="N496" s="125"/>
    </row>
    <row r="497" spans="1:14" s="131" customFormat="1" ht="31.5" x14ac:dyDescent="0.25">
      <c r="A497" s="26" t="s">
        <v>889</v>
      </c>
      <c r="B497" s="217" t="s">
        <v>607</v>
      </c>
      <c r="C497" s="218" t="s">
        <v>197</v>
      </c>
      <c r="D497" s="218" t="s">
        <v>129</v>
      </c>
      <c r="E497" s="218" t="s">
        <v>91</v>
      </c>
      <c r="F497" s="217" t="s">
        <v>890</v>
      </c>
      <c r="G497" s="344">
        <f>G496</f>
        <v>556.91999999999996</v>
      </c>
      <c r="H497" s="344">
        <f>H496</f>
        <v>554.75300000000004</v>
      </c>
      <c r="I497" s="102">
        <f t="shared" si="41"/>
        <v>99.610895640307419</v>
      </c>
      <c r="J497" s="125"/>
      <c r="K497" s="125"/>
      <c r="L497" s="125"/>
      <c r="M497" s="125"/>
      <c r="N497" s="125"/>
    </row>
    <row r="498" spans="1:14" s="110" customFormat="1" ht="47.25" x14ac:dyDescent="0.25">
      <c r="A498" s="116" t="s">
        <v>716</v>
      </c>
      <c r="B498" s="117" t="s">
        <v>714</v>
      </c>
      <c r="C498" s="117"/>
      <c r="D498" s="218"/>
      <c r="E498" s="117"/>
      <c r="F498" s="217"/>
      <c r="G498" s="302">
        <f t="shared" ref="G498:H502" si="46">G499</f>
        <v>7506.9</v>
      </c>
      <c r="H498" s="567">
        <f t="shared" si="46"/>
        <v>6174.8106200000002</v>
      </c>
      <c r="I498" s="221">
        <f t="shared" si="41"/>
        <v>82.255133543806366</v>
      </c>
      <c r="J498" s="125"/>
      <c r="K498" s="125"/>
      <c r="L498" s="125"/>
      <c r="M498" s="125"/>
      <c r="N498" s="125"/>
    </row>
    <row r="499" spans="1:14" s="131" customFormat="1" ht="15.75" x14ac:dyDescent="0.25">
      <c r="A499" s="215" t="s">
        <v>196</v>
      </c>
      <c r="B499" s="218" t="s">
        <v>714</v>
      </c>
      <c r="C499" s="218" t="s">
        <v>197</v>
      </c>
      <c r="D499" s="218"/>
      <c r="E499" s="117"/>
      <c r="F499" s="217"/>
      <c r="G499" s="344">
        <f t="shared" si="46"/>
        <v>7506.9</v>
      </c>
      <c r="H499" s="344">
        <f t="shared" si="46"/>
        <v>6174.8106200000002</v>
      </c>
      <c r="I499" s="102">
        <f t="shared" si="41"/>
        <v>82.255133543806366</v>
      </c>
      <c r="J499" s="125"/>
      <c r="K499" s="125"/>
      <c r="L499" s="125"/>
      <c r="M499" s="125"/>
      <c r="N499" s="125"/>
    </row>
    <row r="500" spans="1:14" s="131" customFormat="1" ht="15.75" x14ac:dyDescent="0.25">
      <c r="A500" s="215" t="s">
        <v>198</v>
      </c>
      <c r="B500" s="218" t="s">
        <v>714</v>
      </c>
      <c r="C500" s="218" t="s">
        <v>197</v>
      </c>
      <c r="D500" s="218" t="s">
        <v>81</v>
      </c>
      <c r="E500" s="117"/>
      <c r="F500" s="217"/>
      <c r="G500" s="344">
        <f t="shared" si="46"/>
        <v>7506.9</v>
      </c>
      <c r="H500" s="344">
        <f t="shared" si="46"/>
        <v>6174.8106200000002</v>
      </c>
      <c r="I500" s="102">
        <f t="shared" si="41"/>
        <v>82.255133543806366</v>
      </c>
      <c r="J500" s="125"/>
      <c r="K500" s="125"/>
      <c r="L500" s="125"/>
      <c r="M500" s="125"/>
      <c r="N500" s="125"/>
    </row>
    <row r="501" spans="1:14" s="110" customFormat="1" ht="31.5" x14ac:dyDescent="0.25">
      <c r="A501" s="20" t="s">
        <v>860</v>
      </c>
      <c r="B501" s="218" t="s">
        <v>715</v>
      </c>
      <c r="C501" s="218"/>
      <c r="D501" s="218"/>
      <c r="E501" s="218"/>
      <c r="F501" s="217"/>
      <c r="G501" s="344">
        <f t="shared" si="46"/>
        <v>7506.9</v>
      </c>
      <c r="H501" s="344">
        <f t="shared" si="46"/>
        <v>6174.8106200000002</v>
      </c>
      <c r="I501" s="102">
        <f t="shared" si="41"/>
        <v>82.255133543806366</v>
      </c>
      <c r="J501" s="125"/>
      <c r="K501" s="125"/>
      <c r="L501" s="125"/>
      <c r="M501" s="125"/>
      <c r="N501" s="125"/>
    </row>
    <row r="502" spans="1:14" s="110" customFormat="1" ht="47.25" x14ac:dyDescent="0.25">
      <c r="A502" s="215" t="s">
        <v>149</v>
      </c>
      <c r="B502" s="218" t="s">
        <v>715</v>
      </c>
      <c r="C502" s="218" t="s">
        <v>150</v>
      </c>
      <c r="D502" s="218"/>
      <c r="E502" s="218" t="s">
        <v>150</v>
      </c>
      <c r="F502" s="217"/>
      <c r="G502" s="344">
        <f t="shared" si="46"/>
        <v>7506.9</v>
      </c>
      <c r="H502" s="344">
        <f t="shared" si="46"/>
        <v>6174.8106200000002</v>
      </c>
      <c r="I502" s="102">
        <f t="shared" si="41"/>
        <v>82.255133543806366</v>
      </c>
      <c r="J502" s="125"/>
      <c r="K502" s="125"/>
      <c r="L502" s="125"/>
      <c r="M502" s="125"/>
      <c r="N502" s="125"/>
    </row>
    <row r="503" spans="1:14" s="110" customFormat="1" ht="15.75" x14ac:dyDescent="0.25">
      <c r="A503" s="215" t="s">
        <v>151</v>
      </c>
      <c r="B503" s="218" t="s">
        <v>715</v>
      </c>
      <c r="C503" s="218" t="s">
        <v>152</v>
      </c>
      <c r="D503" s="218"/>
      <c r="E503" s="218" t="s">
        <v>152</v>
      </c>
      <c r="F503" s="217"/>
      <c r="G503" s="344">
        <f>'Пр.4 Ведом23'!G1004</f>
        <v>7506.9</v>
      </c>
      <c r="H503" s="344">
        <f>'Пр.4 Ведом23'!H1004</f>
        <v>6174.8106200000002</v>
      </c>
      <c r="I503" s="102">
        <f t="shared" si="41"/>
        <v>82.255133543806366</v>
      </c>
      <c r="J503" s="125"/>
      <c r="K503" s="125"/>
      <c r="L503" s="125"/>
      <c r="M503" s="125"/>
      <c r="N503" s="125"/>
    </row>
    <row r="504" spans="1:14" s="131" customFormat="1" ht="31.5" x14ac:dyDescent="0.25">
      <c r="A504" s="26" t="s">
        <v>889</v>
      </c>
      <c r="B504" s="218" t="s">
        <v>715</v>
      </c>
      <c r="C504" s="218" t="s">
        <v>197</v>
      </c>
      <c r="D504" s="218" t="s">
        <v>81</v>
      </c>
      <c r="E504" s="218" t="s">
        <v>152</v>
      </c>
      <c r="F504" s="217" t="s">
        <v>890</v>
      </c>
      <c r="G504" s="344">
        <f>G503</f>
        <v>7506.9</v>
      </c>
      <c r="H504" s="344">
        <f>H503</f>
        <v>6174.8106200000002</v>
      </c>
      <c r="I504" s="102">
        <f t="shared" si="41"/>
        <v>82.255133543806366</v>
      </c>
      <c r="J504" s="125"/>
      <c r="K504" s="125"/>
      <c r="L504" s="125"/>
      <c r="M504" s="125"/>
      <c r="N504" s="125"/>
    </row>
    <row r="505" spans="1:14" s="110" customFormat="1" ht="31.5" hidden="1" x14ac:dyDescent="0.25">
      <c r="A505" s="130" t="s">
        <v>750</v>
      </c>
      <c r="B505" s="117" t="s">
        <v>751</v>
      </c>
      <c r="C505" s="117"/>
      <c r="D505" s="218"/>
      <c r="E505" s="117"/>
      <c r="F505" s="217"/>
      <c r="G505" s="302">
        <f t="shared" ref="G505:H509" si="47">G506</f>
        <v>0</v>
      </c>
      <c r="H505" s="567">
        <f t="shared" si="47"/>
        <v>0</v>
      </c>
      <c r="I505" s="102" t="e">
        <f t="shared" si="41"/>
        <v>#DIV/0!</v>
      </c>
      <c r="J505" s="125"/>
      <c r="K505" s="125"/>
      <c r="L505" s="125"/>
      <c r="M505" s="125"/>
      <c r="N505" s="125"/>
    </row>
    <row r="506" spans="1:14" s="131" customFormat="1" ht="15.75" hidden="1" x14ac:dyDescent="0.25">
      <c r="A506" s="215" t="s">
        <v>196</v>
      </c>
      <c r="B506" s="218" t="s">
        <v>751</v>
      </c>
      <c r="C506" s="218" t="s">
        <v>197</v>
      </c>
      <c r="D506" s="218"/>
      <c r="E506" s="117"/>
      <c r="F506" s="217"/>
      <c r="G506" s="344">
        <f t="shared" si="47"/>
        <v>0</v>
      </c>
      <c r="H506" s="344">
        <f t="shared" si="47"/>
        <v>0</v>
      </c>
      <c r="I506" s="102" t="e">
        <f t="shared" si="41"/>
        <v>#DIV/0!</v>
      </c>
      <c r="J506" s="125"/>
      <c r="K506" s="125"/>
      <c r="L506" s="125"/>
      <c r="M506" s="125"/>
      <c r="N506" s="125"/>
    </row>
    <row r="507" spans="1:14" s="131" customFormat="1" ht="15.75" hidden="1" x14ac:dyDescent="0.25">
      <c r="A507" s="215" t="s">
        <v>198</v>
      </c>
      <c r="B507" s="218" t="s">
        <v>751</v>
      </c>
      <c r="C507" s="218" t="s">
        <v>197</v>
      </c>
      <c r="D507" s="218" t="s">
        <v>81</v>
      </c>
      <c r="E507" s="117"/>
      <c r="F507" s="217"/>
      <c r="G507" s="344">
        <f t="shared" si="47"/>
        <v>0</v>
      </c>
      <c r="H507" s="344">
        <f t="shared" si="47"/>
        <v>0</v>
      </c>
      <c r="I507" s="102" t="e">
        <f t="shared" si="41"/>
        <v>#DIV/0!</v>
      </c>
      <c r="J507" s="125"/>
      <c r="K507" s="125"/>
      <c r="L507" s="125"/>
      <c r="M507" s="125"/>
      <c r="N507" s="125"/>
    </row>
    <row r="508" spans="1:14" s="110" customFormat="1" ht="31.5" hidden="1" x14ac:dyDescent="0.25">
      <c r="A508" s="19" t="s">
        <v>753</v>
      </c>
      <c r="B508" s="218" t="s">
        <v>752</v>
      </c>
      <c r="C508" s="218" t="s">
        <v>197</v>
      </c>
      <c r="D508" s="218" t="s">
        <v>81</v>
      </c>
      <c r="E508" s="218"/>
      <c r="F508" s="217"/>
      <c r="G508" s="344">
        <f t="shared" si="47"/>
        <v>0</v>
      </c>
      <c r="H508" s="344">
        <f t="shared" si="47"/>
        <v>0</v>
      </c>
      <c r="I508" s="102" t="e">
        <f t="shared" si="41"/>
        <v>#DIV/0!</v>
      </c>
      <c r="J508" s="125"/>
      <c r="K508" s="125"/>
      <c r="L508" s="125"/>
      <c r="M508" s="125"/>
      <c r="N508" s="125"/>
    </row>
    <row r="509" spans="1:14" s="110" customFormat="1" ht="47.25" hidden="1" x14ac:dyDescent="0.25">
      <c r="A509" s="215" t="s">
        <v>149</v>
      </c>
      <c r="B509" s="218" t="s">
        <v>752</v>
      </c>
      <c r="C509" s="218" t="s">
        <v>197</v>
      </c>
      <c r="D509" s="218" t="s">
        <v>81</v>
      </c>
      <c r="E509" s="218" t="s">
        <v>150</v>
      </c>
      <c r="F509" s="217"/>
      <c r="G509" s="344">
        <f t="shared" si="47"/>
        <v>0</v>
      </c>
      <c r="H509" s="344">
        <f t="shared" si="47"/>
        <v>0</v>
      </c>
      <c r="I509" s="102" t="e">
        <f t="shared" si="41"/>
        <v>#DIV/0!</v>
      </c>
      <c r="J509" s="125"/>
      <c r="K509" s="125"/>
      <c r="L509" s="125"/>
      <c r="M509" s="125"/>
      <c r="N509" s="125"/>
    </row>
    <row r="510" spans="1:14" s="110" customFormat="1" ht="15.75" hidden="1" x14ac:dyDescent="0.25">
      <c r="A510" s="215" t="s">
        <v>151</v>
      </c>
      <c r="B510" s="218" t="s">
        <v>752</v>
      </c>
      <c r="C510" s="218" t="s">
        <v>197</v>
      </c>
      <c r="D510" s="218" t="s">
        <v>81</v>
      </c>
      <c r="E510" s="218" t="s">
        <v>152</v>
      </c>
      <c r="F510" s="217"/>
      <c r="G510" s="344">
        <f>'Пр.4 Ведом23'!G1008</f>
        <v>0</v>
      </c>
      <c r="H510" s="344">
        <f>'Пр.4 Ведом23'!H1008</f>
        <v>0</v>
      </c>
      <c r="I510" s="102" t="e">
        <f t="shared" si="41"/>
        <v>#DIV/0!</v>
      </c>
      <c r="J510" s="125"/>
      <c r="K510" s="125"/>
      <c r="L510" s="125"/>
      <c r="M510" s="125"/>
      <c r="N510" s="125"/>
    </row>
    <row r="511" spans="1:14" s="131" customFormat="1" ht="31.5" hidden="1" x14ac:dyDescent="0.25">
      <c r="A511" s="26" t="s">
        <v>889</v>
      </c>
      <c r="B511" s="218" t="s">
        <v>752</v>
      </c>
      <c r="C511" s="218" t="s">
        <v>197</v>
      </c>
      <c r="D511" s="218" t="s">
        <v>81</v>
      </c>
      <c r="E511" s="218" t="s">
        <v>152</v>
      </c>
      <c r="F511" s="217" t="s">
        <v>890</v>
      </c>
      <c r="G511" s="344">
        <f>G510</f>
        <v>0</v>
      </c>
      <c r="H511" s="344">
        <f>H510</f>
        <v>0</v>
      </c>
      <c r="I511" s="102" t="e">
        <f t="shared" si="41"/>
        <v>#DIV/0!</v>
      </c>
      <c r="J511" s="125"/>
      <c r="K511" s="125"/>
      <c r="L511" s="125"/>
      <c r="M511" s="125"/>
      <c r="N511" s="125"/>
    </row>
    <row r="512" spans="1:14" s="112" customFormat="1" ht="47.25" x14ac:dyDescent="0.25">
      <c r="A512" s="116" t="s">
        <v>891</v>
      </c>
      <c r="B512" s="117" t="s">
        <v>147</v>
      </c>
      <c r="C512" s="117"/>
      <c r="D512" s="117"/>
      <c r="E512" s="117"/>
      <c r="F512" s="6"/>
      <c r="G512" s="302">
        <f>G513+G585+G620+G647+G667+G674+G685+G695</f>
        <v>89637.189370000036</v>
      </c>
      <c r="H512" s="567">
        <f>H513+H585+H620+H647+H667+H674+H685+H695</f>
        <v>89512.104460000002</v>
      </c>
      <c r="I512" s="221">
        <f t="shared" si="41"/>
        <v>99.86045422566329</v>
      </c>
      <c r="J512" s="125"/>
      <c r="K512" s="125"/>
      <c r="L512" s="125"/>
      <c r="M512" s="125"/>
      <c r="N512" s="125"/>
    </row>
    <row r="513" spans="1:14" s="112" customFormat="1" ht="31.5" x14ac:dyDescent="0.25">
      <c r="A513" s="116" t="s">
        <v>621</v>
      </c>
      <c r="B513" s="117" t="s">
        <v>560</v>
      </c>
      <c r="C513" s="117"/>
      <c r="D513" s="218"/>
      <c r="E513" s="117"/>
      <c r="F513" s="217"/>
      <c r="G513" s="302">
        <f>G514+G530+G553+G569</f>
        <v>74745.22924000003</v>
      </c>
      <c r="H513" s="567">
        <f>H514+H530+H553+H569</f>
        <v>74745.229240000001</v>
      </c>
      <c r="I513" s="221">
        <f t="shared" si="41"/>
        <v>99.999999999999957</v>
      </c>
      <c r="J513" s="125"/>
      <c r="K513" s="125"/>
      <c r="L513" s="125"/>
      <c r="M513" s="125"/>
      <c r="N513" s="125"/>
    </row>
    <row r="514" spans="1:14" s="131" customFormat="1" ht="15.75" x14ac:dyDescent="0.25">
      <c r="A514" s="215" t="s">
        <v>144</v>
      </c>
      <c r="B514" s="218" t="s">
        <v>560</v>
      </c>
      <c r="C514" s="218" t="s">
        <v>145</v>
      </c>
      <c r="D514" s="218"/>
      <c r="E514" s="117"/>
      <c r="F514" s="217"/>
      <c r="G514" s="344">
        <f>G515</f>
        <v>18208.42337</v>
      </c>
      <c r="H514" s="344">
        <f>H515</f>
        <v>18208.42337</v>
      </c>
      <c r="I514" s="102">
        <f t="shared" si="41"/>
        <v>100</v>
      </c>
      <c r="J514" s="125"/>
      <c r="K514" s="125"/>
      <c r="L514" s="125"/>
      <c r="M514" s="125"/>
      <c r="N514" s="125"/>
    </row>
    <row r="515" spans="1:14" s="131" customFormat="1" ht="15.75" x14ac:dyDescent="0.25">
      <c r="A515" s="215" t="s">
        <v>146</v>
      </c>
      <c r="B515" s="218" t="s">
        <v>560</v>
      </c>
      <c r="C515" s="218" t="s">
        <v>145</v>
      </c>
      <c r="D515" s="218" t="s">
        <v>120</v>
      </c>
      <c r="E515" s="117"/>
      <c r="F515" s="217"/>
      <c r="G515" s="344">
        <f>G516+G526</f>
        <v>18208.42337</v>
      </c>
      <c r="H515" s="344">
        <f>H516+H526</f>
        <v>18208.42337</v>
      </c>
      <c r="I515" s="102">
        <f t="shared" si="41"/>
        <v>100</v>
      </c>
      <c r="J515" s="125"/>
      <c r="K515" s="125"/>
      <c r="L515" s="125"/>
      <c r="M515" s="125"/>
      <c r="N515" s="125"/>
    </row>
    <row r="516" spans="1:14" s="112" customFormat="1" ht="15.75" x14ac:dyDescent="0.25">
      <c r="A516" s="215" t="s">
        <v>282</v>
      </c>
      <c r="B516" s="218" t="s">
        <v>561</v>
      </c>
      <c r="C516" s="218" t="s">
        <v>145</v>
      </c>
      <c r="D516" s="218" t="s">
        <v>120</v>
      </c>
      <c r="E516" s="218"/>
      <c r="F516" s="217"/>
      <c r="G516" s="344">
        <f>G517+G520+G523</f>
        <v>18079.56337</v>
      </c>
      <c r="H516" s="344">
        <f>H517+H520+H523</f>
        <v>18079.56337</v>
      </c>
      <c r="I516" s="102">
        <f t="shared" si="41"/>
        <v>100</v>
      </c>
      <c r="J516" s="125"/>
      <c r="K516" s="125"/>
      <c r="L516" s="125"/>
      <c r="M516" s="125"/>
      <c r="N516" s="125"/>
    </row>
    <row r="517" spans="1:14" s="112" customFormat="1" ht="78.75" x14ac:dyDescent="0.25">
      <c r="A517" s="215" t="s">
        <v>84</v>
      </c>
      <c r="B517" s="218" t="s">
        <v>561</v>
      </c>
      <c r="C517" s="218" t="s">
        <v>145</v>
      </c>
      <c r="D517" s="218" t="s">
        <v>120</v>
      </c>
      <c r="E517" s="218" t="s">
        <v>85</v>
      </c>
      <c r="F517" s="217"/>
      <c r="G517" s="344">
        <f>G518</f>
        <v>15535.977930000001</v>
      </c>
      <c r="H517" s="344">
        <f>H518</f>
        <v>15535.977929999999</v>
      </c>
      <c r="I517" s="102">
        <f t="shared" si="41"/>
        <v>99.999999999999986</v>
      </c>
      <c r="J517" s="125"/>
      <c r="K517" s="125"/>
      <c r="L517" s="125"/>
      <c r="M517" s="125"/>
      <c r="N517" s="125"/>
    </row>
    <row r="518" spans="1:14" s="112" customFormat="1" ht="31.5" x14ac:dyDescent="0.25">
      <c r="A518" s="27" t="s">
        <v>168</v>
      </c>
      <c r="B518" s="218" t="s">
        <v>561</v>
      </c>
      <c r="C518" s="218" t="s">
        <v>145</v>
      </c>
      <c r="D518" s="218" t="s">
        <v>120</v>
      </c>
      <c r="E518" s="218" t="s">
        <v>117</v>
      </c>
      <c r="F518" s="217"/>
      <c r="G518" s="344">
        <f>'Пр.4 Ведом23'!G367</f>
        <v>15535.977930000001</v>
      </c>
      <c r="H518" s="344">
        <f>'Пр.4 Ведом23'!H367</f>
        <v>15535.977929999999</v>
      </c>
      <c r="I518" s="102">
        <f t="shared" si="41"/>
        <v>99.999999999999986</v>
      </c>
      <c r="J518" s="125"/>
      <c r="K518" s="125"/>
      <c r="L518" s="125"/>
      <c r="M518" s="125"/>
      <c r="N518" s="125"/>
    </row>
    <row r="519" spans="1:14" s="264" customFormat="1" ht="47.25" x14ac:dyDescent="0.25">
      <c r="A519" s="215" t="s">
        <v>876</v>
      </c>
      <c r="B519" s="218" t="s">
        <v>561</v>
      </c>
      <c r="C519" s="218" t="s">
        <v>145</v>
      </c>
      <c r="D519" s="218" t="s">
        <v>120</v>
      </c>
      <c r="E519" s="218" t="s">
        <v>117</v>
      </c>
      <c r="F519" s="217" t="s">
        <v>237</v>
      </c>
      <c r="G519" s="344">
        <f>G518</f>
        <v>15535.977930000001</v>
      </c>
      <c r="H519" s="344">
        <f>H518</f>
        <v>15535.977929999999</v>
      </c>
      <c r="I519" s="102">
        <f t="shared" si="41"/>
        <v>99.999999999999986</v>
      </c>
      <c r="J519" s="266"/>
      <c r="K519" s="266"/>
      <c r="L519" s="266"/>
      <c r="M519" s="266"/>
      <c r="N519" s="266"/>
    </row>
    <row r="520" spans="1:14" s="112" customFormat="1" ht="31.5" x14ac:dyDescent="0.25">
      <c r="A520" s="215" t="s">
        <v>88</v>
      </c>
      <c r="B520" s="218" t="s">
        <v>561</v>
      </c>
      <c r="C520" s="218" t="s">
        <v>145</v>
      </c>
      <c r="D520" s="218" t="s">
        <v>120</v>
      </c>
      <c r="E520" s="218" t="s">
        <v>89</v>
      </c>
      <c r="F520" s="217"/>
      <c r="G520" s="344">
        <f>G521</f>
        <v>2505.4824399999998</v>
      </c>
      <c r="H520" s="344">
        <f>H521</f>
        <v>2505.4824400000002</v>
      </c>
      <c r="I520" s="102">
        <f t="shared" si="41"/>
        <v>100.00000000000003</v>
      </c>
      <c r="J520" s="125"/>
      <c r="K520" s="125"/>
      <c r="L520" s="125"/>
      <c r="M520" s="125"/>
      <c r="N520" s="125"/>
    </row>
    <row r="521" spans="1:14" s="112" customFormat="1" ht="47.25" x14ac:dyDescent="0.25">
      <c r="A521" s="215" t="s">
        <v>90</v>
      </c>
      <c r="B521" s="218" t="s">
        <v>561</v>
      </c>
      <c r="C521" s="218" t="s">
        <v>145</v>
      </c>
      <c r="D521" s="218" t="s">
        <v>120</v>
      </c>
      <c r="E521" s="218" t="s">
        <v>91</v>
      </c>
      <c r="F521" s="217"/>
      <c r="G521" s="344">
        <f>'Пр.4 Ведом23'!G369</f>
        <v>2505.4824399999998</v>
      </c>
      <c r="H521" s="344">
        <f>'Пр.4 Ведом23'!H369</f>
        <v>2505.4824400000002</v>
      </c>
      <c r="I521" s="102">
        <f t="shared" si="41"/>
        <v>100.00000000000003</v>
      </c>
      <c r="J521" s="125"/>
      <c r="K521" s="125"/>
      <c r="L521" s="125"/>
      <c r="M521" s="125"/>
      <c r="N521" s="125"/>
    </row>
    <row r="522" spans="1:14" s="264" customFormat="1" ht="47.25" x14ac:dyDescent="0.25">
      <c r="A522" s="215" t="s">
        <v>876</v>
      </c>
      <c r="B522" s="218" t="s">
        <v>561</v>
      </c>
      <c r="C522" s="218" t="s">
        <v>145</v>
      </c>
      <c r="D522" s="218" t="s">
        <v>120</v>
      </c>
      <c r="E522" s="218" t="s">
        <v>91</v>
      </c>
      <c r="F522" s="217" t="s">
        <v>237</v>
      </c>
      <c r="G522" s="344">
        <f>G521</f>
        <v>2505.4824399999998</v>
      </c>
      <c r="H522" s="344">
        <f>H521</f>
        <v>2505.4824400000002</v>
      </c>
      <c r="I522" s="102">
        <f t="shared" si="41"/>
        <v>100.00000000000003</v>
      </c>
      <c r="J522" s="266"/>
      <c r="K522" s="266"/>
      <c r="L522" s="266"/>
      <c r="M522" s="266"/>
      <c r="N522" s="266"/>
    </row>
    <row r="523" spans="1:14" s="131" customFormat="1" ht="15.75" x14ac:dyDescent="0.25">
      <c r="A523" s="215" t="s">
        <v>92</v>
      </c>
      <c r="B523" s="218" t="s">
        <v>561</v>
      </c>
      <c r="C523" s="218" t="s">
        <v>145</v>
      </c>
      <c r="D523" s="218" t="s">
        <v>120</v>
      </c>
      <c r="E523" s="218" t="s">
        <v>98</v>
      </c>
      <c r="F523" s="6"/>
      <c r="G523" s="344">
        <f>G524</f>
        <v>38.103000000000002</v>
      </c>
      <c r="H523" s="344">
        <f>H524</f>
        <v>38.103000000000002</v>
      </c>
      <c r="I523" s="102">
        <f t="shared" si="41"/>
        <v>100</v>
      </c>
      <c r="J523" s="125"/>
      <c r="K523" s="125"/>
      <c r="L523" s="125"/>
      <c r="M523" s="125"/>
      <c r="N523" s="125"/>
    </row>
    <row r="524" spans="1:14" s="131" customFormat="1" ht="15.75" x14ac:dyDescent="0.25">
      <c r="A524" s="215" t="s">
        <v>258</v>
      </c>
      <c r="B524" s="218" t="s">
        <v>561</v>
      </c>
      <c r="C524" s="218" t="s">
        <v>145</v>
      </c>
      <c r="D524" s="218" t="s">
        <v>120</v>
      </c>
      <c r="E524" s="218" t="s">
        <v>94</v>
      </c>
      <c r="F524" s="217"/>
      <c r="G524" s="344">
        <f>'Пр.4 Ведом23'!G371</f>
        <v>38.103000000000002</v>
      </c>
      <c r="H524" s="344">
        <f>'Пр.4 Ведом23'!H371</f>
        <v>38.103000000000002</v>
      </c>
      <c r="I524" s="102">
        <f t="shared" si="41"/>
        <v>100</v>
      </c>
      <c r="J524" s="125"/>
      <c r="K524" s="125"/>
      <c r="L524" s="125"/>
      <c r="M524" s="125"/>
      <c r="N524" s="125"/>
    </row>
    <row r="525" spans="1:14" s="131" customFormat="1" ht="47.25" x14ac:dyDescent="0.25">
      <c r="A525" s="215" t="s">
        <v>876</v>
      </c>
      <c r="B525" s="218" t="s">
        <v>561</v>
      </c>
      <c r="C525" s="218" t="s">
        <v>145</v>
      </c>
      <c r="D525" s="218" t="s">
        <v>120</v>
      </c>
      <c r="E525" s="218" t="s">
        <v>94</v>
      </c>
      <c r="F525" s="217" t="s">
        <v>237</v>
      </c>
      <c r="G525" s="344">
        <f>G524</f>
        <v>38.103000000000002</v>
      </c>
      <c r="H525" s="344">
        <f>H524</f>
        <v>38.103000000000002</v>
      </c>
      <c r="I525" s="102">
        <f t="shared" si="41"/>
        <v>100</v>
      </c>
      <c r="J525" s="125"/>
      <c r="K525" s="125"/>
      <c r="L525" s="125"/>
      <c r="M525" s="125"/>
      <c r="N525" s="125"/>
    </row>
    <row r="526" spans="1:14" s="332" customFormat="1" ht="31.5" x14ac:dyDescent="0.25">
      <c r="A526" s="335" t="s">
        <v>1118</v>
      </c>
      <c r="B526" s="334" t="s">
        <v>1120</v>
      </c>
      <c r="C526" s="334" t="s">
        <v>145</v>
      </c>
      <c r="D526" s="334" t="s">
        <v>120</v>
      </c>
      <c r="E526" s="334"/>
      <c r="F526" s="217"/>
      <c r="G526" s="344">
        <f>G527</f>
        <v>128.86000000000001</v>
      </c>
      <c r="H526" s="344">
        <f>H527</f>
        <v>128.86000000000001</v>
      </c>
      <c r="I526" s="102">
        <f t="shared" si="41"/>
        <v>100</v>
      </c>
      <c r="J526" s="125"/>
      <c r="K526" s="125"/>
      <c r="L526" s="125"/>
      <c r="M526" s="125"/>
      <c r="N526" s="125"/>
    </row>
    <row r="527" spans="1:14" s="332" customFormat="1" ht="78.75" x14ac:dyDescent="0.25">
      <c r="A527" s="335" t="s">
        <v>84</v>
      </c>
      <c r="B527" s="334" t="s">
        <v>1120</v>
      </c>
      <c r="C527" s="334" t="s">
        <v>145</v>
      </c>
      <c r="D527" s="334" t="s">
        <v>120</v>
      </c>
      <c r="E527" s="334" t="s">
        <v>85</v>
      </c>
      <c r="F527" s="217"/>
      <c r="G527" s="344">
        <f>G528</f>
        <v>128.86000000000001</v>
      </c>
      <c r="H527" s="344">
        <f>H528</f>
        <v>128.86000000000001</v>
      </c>
      <c r="I527" s="102">
        <f t="shared" si="41"/>
        <v>100</v>
      </c>
      <c r="J527" s="125"/>
      <c r="K527" s="125"/>
      <c r="L527" s="125"/>
      <c r="M527" s="125"/>
      <c r="N527" s="125"/>
    </row>
    <row r="528" spans="1:14" s="332" customFormat="1" ht="30.75" customHeight="1" x14ac:dyDescent="0.25">
      <c r="A528" s="335" t="s">
        <v>168</v>
      </c>
      <c r="B528" s="334" t="s">
        <v>1120</v>
      </c>
      <c r="C528" s="334" t="s">
        <v>145</v>
      </c>
      <c r="D528" s="334" t="s">
        <v>120</v>
      </c>
      <c r="E528" s="334" t="s">
        <v>117</v>
      </c>
      <c r="F528" s="217"/>
      <c r="G528" s="344">
        <f>'Пр.4 Ведом23'!G377</f>
        <v>128.86000000000001</v>
      </c>
      <c r="H528" s="344">
        <f>'Пр.4 Ведом23'!H377</f>
        <v>128.86000000000001</v>
      </c>
      <c r="I528" s="102">
        <f t="shared" si="41"/>
        <v>100</v>
      </c>
      <c r="J528" s="125"/>
      <c r="K528" s="125"/>
      <c r="L528" s="125"/>
      <c r="M528" s="125"/>
      <c r="N528" s="125"/>
    </row>
    <row r="529" spans="1:14" s="332" customFormat="1" ht="53.25" customHeight="1" x14ac:dyDescent="0.25">
      <c r="A529" s="335" t="s">
        <v>876</v>
      </c>
      <c r="B529" s="334" t="s">
        <v>1120</v>
      </c>
      <c r="C529" s="334" t="s">
        <v>145</v>
      </c>
      <c r="D529" s="334" t="s">
        <v>120</v>
      </c>
      <c r="E529" s="334" t="s">
        <v>117</v>
      </c>
      <c r="F529" s="217" t="s">
        <v>237</v>
      </c>
      <c r="G529" s="344">
        <f>G528</f>
        <v>128.86000000000001</v>
      </c>
      <c r="H529" s="344">
        <f>H528</f>
        <v>128.86000000000001</v>
      </c>
      <c r="I529" s="102">
        <f t="shared" ref="I529:I592" si="48">H529/G529*100</f>
        <v>100</v>
      </c>
      <c r="J529" s="125"/>
      <c r="K529" s="125"/>
      <c r="L529" s="125"/>
      <c r="M529" s="125"/>
      <c r="N529" s="125"/>
    </row>
    <row r="530" spans="1:14" s="131" customFormat="1" ht="15.75" x14ac:dyDescent="0.25">
      <c r="A530" s="40" t="s">
        <v>158</v>
      </c>
      <c r="B530" s="218" t="s">
        <v>560</v>
      </c>
      <c r="C530" s="218" t="s">
        <v>159</v>
      </c>
      <c r="D530" s="218"/>
      <c r="E530" s="218"/>
      <c r="F530" s="217"/>
      <c r="G530" s="344">
        <f>G531+G546</f>
        <v>50249.69044000002</v>
      </c>
      <c r="H530" s="344">
        <f>H531+H546</f>
        <v>50249.690439999998</v>
      </c>
      <c r="I530" s="102">
        <f t="shared" si="48"/>
        <v>99.999999999999957</v>
      </c>
      <c r="J530" s="125"/>
      <c r="K530" s="125"/>
      <c r="L530" s="125"/>
      <c r="M530" s="125"/>
      <c r="N530" s="125"/>
    </row>
    <row r="531" spans="1:14" s="131" customFormat="1" ht="15.75" x14ac:dyDescent="0.25">
      <c r="A531" s="40" t="s">
        <v>160</v>
      </c>
      <c r="B531" s="218" t="s">
        <v>560</v>
      </c>
      <c r="C531" s="218" t="s">
        <v>159</v>
      </c>
      <c r="D531" s="218" t="s">
        <v>81</v>
      </c>
      <c r="E531" s="218"/>
      <c r="F531" s="217"/>
      <c r="G531" s="344">
        <f>G532+G536</f>
        <v>48800.944440000021</v>
      </c>
      <c r="H531" s="344">
        <f>H532+H536</f>
        <v>48800.944439999999</v>
      </c>
      <c r="I531" s="102">
        <f t="shared" si="48"/>
        <v>99.999999999999957</v>
      </c>
      <c r="J531" s="125"/>
      <c r="K531" s="125"/>
      <c r="L531" s="125"/>
      <c r="M531" s="125"/>
      <c r="N531" s="125"/>
    </row>
    <row r="532" spans="1:14" s="131" customFormat="1" ht="31.5" x14ac:dyDescent="0.25">
      <c r="A532" s="215" t="s">
        <v>161</v>
      </c>
      <c r="B532" s="218" t="s">
        <v>778</v>
      </c>
      <c r="C532" s="218" t="s">
        <v>159</v>
      </c>
      <c r="D532" s="218" t="s">
        <v>81</v>
      </c>
      <c r="E532" s="218"/>
      <c r="F532" s="217"/>
      <c r="G532" s="344">
        <f>G533</f>
        <v>25751.209830000014</v>
      </c>
      <c r="H532" s="344">
        <f>H533</f>
        <v>25751.20983</v>
      </c>
      <c r="I532" s="102">
        <f t="shared" si="48"/>
        <v>99.999999999999943</v>
      </c>
      <c r="J532" s="125"/>
      <c r="K532" s="125"/>
      <c r="L532" s="125"/>
      <c r="M532" s="125"/>
      <c r="N532" s="125"/>
    </row>
    <row r="533" spans="1:14" s="131" customFormat="1" ht="47.25" x14ac:dyDescent="0.25">
      <c r="A533" s="215" t="s">
        <v>149</v>
      </c>
      <c r="B533" s="218" t="s">
        <v>778</v>
      </c>
      <c r="C533" s="218" t="s">
        <v>159</v>
      </c>
      <c r="D533" s="218" t="s">
        <v>81</v>
      </c>
      <c r="E533" s="218" t="s">
        <v>150</v>
      </c>
      <c r="F533" s="217"/>
      <c r="G533" s="344">
        <f>G534</f>
        <v>25751.209830000014</v>
      </c>
      <c r="H533" s="344">
        <f>H534</f>
        <v>25751.20983</v>
      </c>
      <c r="I533" s="102">
        <f t="shared" si="48"/>
        <v>99.999999999999943</v>
      </c>
      <c r="J533" s="125"/>
      <c r="K533" s="125"/>
      <c r="L533" s="125"/>
      <c r="M533" s="125"/>
      <c r="N533" s="125"/>
    </row>
    <row r="534" spans="1:14" s="131" customFormat="1" ht="15.75" x14ac:dyDescent="0.25">
      <c r="A534" s="215" t="s">
        <v>151</v>
      </c>
      <c r="B534" s="218" t="s">
        <v>778</v>
      </c>
      <c r="C534" s="218" t="s">
        <v>159</v>
      </c>
      <c r="D534" s="218" t="s">
        <v>81</v>
      </c>
      <c r="E534" s="218" t="s">
        <v>152</v>
      </c>
      <c r="F534" s="217"/>
      <c r="G534" s="344">
        <f>'Пр.4 Ведом23'!G437</f>
        <v>25751.209830000014</v>
      </c>
      <c r="H534" s="344">
        <f>'Пр.4 Ведом23'!H437</f>
        <v>25751.20983</v>
      </c>
      <c r="I534" s="102">
        <f t="shared" si="48"/>
        <v>99.999999999999943</v>
      </c>
      <c r="J534" s="125"/>
      <c r="K534" s="125"/>
      <c r="L534" s="125"/>
      <c r="M534" s="125"/>
      <c r="N534" s="125"/>
    </row>
    <row r="535" spans="1:14" s="264" customFormat="1" ht="47.25" x14ac:dyDescent="0.25">
      <c r="A535" s="215" t="s">
        <v>876</v>
      </c>
      <c r="B535" s="218" t="s">
        <v>778</v>
      </c>
      <c r="C535" s="218" t="s">
        <v>159</v>
      </c>
      <c r="D535" s="218" t="s">
        <v>81</v>
      </c>
      <c r="E535" s="218" t="s">
        <v>152</v>
      </c>
      <c r="F535" s="217" t="s">
        <v>237</v>
      </c>
      <c r="G535" s="344">
        <f>G534</f>
        <v>25751.209830000014</v>
      </c>
      <c r="H535" s="344">
        <f>H534</f>
        <v>25751.20983</v>
      </c>
      <c r="I535" s="102">
        <f t="shared" si="48"/>
        <v>99.999999999999943</v>
      </c>
      <c r="J535" s="266"/>
      <c r="K535" s="266"/>
      <c r="L535" s="266"/>
      <c r="M535" s="266"/>
      <c r="N535" s="266"/>
    </row>
    <row r="536" spans="1:14" s="131" customFormat="1" ht="15.75" x14ac:dyDescent="0.25">
      <c r="A536" s="215" t="s">
        <v>282</v>
      </c>
      <c r="B536" s="218" t="s">
        <v>561</v>
      </c>
      <c r="C536" s="218" t="s">
        <v>159</v>
      </c>
      <c r="D536" s="218" t="s">
        <v>81</v>
      </c>
      <c r="E536" s="218"/>
      <c r="F536" s="217"/>
      <c r="G536" s="344">
        <f>G537+G540+G543</f>
        <v>23049.734610000003</v>
      </c>
      <c r="H536" s="344">
        <f>H537+H540+H543</f>
        <v>23049.73461</v>
      </c>
      <c r="I536" s="102">
        <f t="shared" si="48"/>
        <v>99.999999999999986</v>
      </c>
      <c r="J536" s="125"/>
      <c r="K536" s="125"/>
      <c r="L536" s="125"/>
      <c r="M536" s="125"/>
      <c r="N536" s="125"/>
    </row>
    <row r="537" spans="1:14" s="131" customFormat="1" ht="84.75" customHeight="1" x14ac:dyDescent="0.25">
      <c r="A537" s="215" t="s">
        <v>84</v>
      </c>
      <c r="B537" s="218" t="s">
        <v>561</v>
      </c>
      <c r="C537" s="218" t="s">
        <v>159</v>
      </c>
      <c r="D537" s="218" t="s">
        <v>81</v>
      </c>
      <c r="E537" s="218" t="s">
        <v>85</v>
      </c>
      <c r="F537" s="217"/>
      <c r="G537" s="344">
        <f>G538</f>
        <v>19108.905240000004</v>
      </c>
      <c r="H537" s="344">
        <f>H538</f>
        <v>19108.90524</v>
      </c>
      <c r="I537" s="102">
        <f t="shared" si="48"/>
        <v>99.999999999999972</v>
      </c>
      <c r="J537" s="125"/>
      <c r="K537" s="125"/>
      <c r="L537" s="125"/>
      <c r="M537" s="125"/>
      <c r="N537" s="125"/>
    </row>
    <row r="538" spans="1:14" s="131" customFormat="1" ht="31.5" x14ac:dyDescent="0.25">
      <c r="A538" s="215" t="s">
        <v>116</v>
      </c>
      <c r="B538" s="218" t="s">
        <v>561</v>
      </c>
      <c r="C538" s="218" t="s">
        <v>159</v>
      </c>
      <c r="D538" s="218" t="s">
        <v>81</v>
      </c>
      <c r="E538" s="218" t="s">
        <v>117</v>
      </c>
      <c r="F538" s="217"/>
      <c r="G538" s="344">
        <f>'Пр.4 Ведом23'!G440</f>
        <v>19108.905240000004</v>
      </c>
      <c r="H538" s="344">
        <f>'Пр.4 Ведом23'!H440</f>
        <v>19108.90524</v>
      </c>
      <c r="I538" s="102">
        <f t="shared" si="48"/>
        <v>99.999999999999972</v>
      </c>
      <c r="J538" s="125"/>
      <c r="K538" s="125"/>
      <c r="L538" s="125"/>
      <c r="M538" s="125"/>
      <c r="N538" s="125"/>
    </row>
    <row r="539" spans="1:14" s="131" customFormat="1" ht="47.25" x14ac:dyDescent="0.25">
      <c r="A539" s="215" t="s">
        <v>876</v>
      </c>
      <c r="B539" s="218" t="s">
        <v>561</v>
      </c>
      <c r="C539" s="218" t="s">
        <v>159</v>
      </c>
      <c r="D539" s="218" t="s">
        <v>81</v>
      </c>
      <c r="E539" s="218" t="s">
        <v>117</v>
      </c>
      <c r="F539" s="217" t="s">
        <v>237</v>
      </c>
      <c r="G539" s="344">
        <f>G538</f>
        <v>19108.905240000004</v>
      </c>
      <c r="H539" s="344">
        <f>H538</f>
        <v>19108.90524</v>
      </c>
      <c r="I539" s="102">
        <f t="shared" si="48"/>
        <v>99.999999999999972</v>
      </c>
      <c r="J539" s="125"/>
      <c r="K539" s="125"/>
      <c r="L539" s="125"/>
      <c r="M539" s="125"/>
      <c r="N539" s="125"/>
    </row>
    <row r="540" spans="1:14" s="131" customFormat="1" ht="31.5" x14ac:dyDescent="0.25">
      <c r="A540" s="215" t="s">
        <v>88</v>
      </c>
      <c r="B540" s="218" t="s">
        <v>561</v>
      </c>
      <c r="C540" s="218" t="s">
        <v>159</v>
      </c>
      <c r="D540" s="218" t="s">
        <v>81</v>
      </c>
      <c r="E540" s="218" t="s">
        <v>89</v>
      </c>
      <c r="F540" s="217"/>
      <c r="G540" s="344">
        <f>G541</f>
        <v>3900.6303699999976</v>
      </c>
      <c r="H540" s="344">
        <f>H541</f>
        <v>3900.6303699999999</v>
      </c>
      <c r="I540" s="102">
        <f t="shared" si="48"/>
        <v>100.00000000000007</v>
      </c>
      <c r="J540" s="125"/>
      <c r="K540" s="125"/>
      <c r="L540" s="125"/>
      <c r="M540" s="125"/>
      <c r="N540" s="125"/>
    </row>
    <row r="541" spans="1:14" s="131" customFormat="1" ht="47.25" x14ac:dyDescent="0.25">
      <c r="A541" s="215" t="s">
        <v>90</v>
      </c>
      <c r="B541" s="218" t="s">
        <v>561</v>
      </c>
      <c r="C541" s="218" t="s">
        <v>159</v>
      </c>
      <c r="D541" s="218" t="s">
        <v>81</v>
      </c>
      <c r="E541" s="218" t="s">
        <v>91</v>
      </c>
      <c r="F541" s="217"/>
      <c r="G541" s="344">
        <f>'Пр.4 Ведом23'!G442</f>
        <v>3900.6303699999976</v>
      </c>
      <c r="H541" s="344">
        <f>'Пр.4 Ведом23'!H442</f>
        <v>3900.6303699999999</v>
      </c>
      <c r="I541" s="102">
        <f t="shared" si="48"/>
        <v>100.00000000000007</v>
      </c>
      <c r="J541" s="125"/>
      <c r="K541" s="125"/>
      <c r="L541" s="125"/>
      <c r="M541" s="125"/>
      <c r="N541" s="125"/>
    </row>
    <row r="542" spans="1:14" s="264" customFormat="1" ht="47.25" x14ac:dyDescent="0.25">
      <c r="A542" s="215" t="s">
        <v>876</v>
      </c>
      <c r="B542" s="218" t="s">
        <v>561</v>
      </c>
      <c r="C542" s="218" t="s">
        <v>159</v>
      </c>
      <c r="D542" s="218" t="s">
        <v>81</v>
      </c>
      <c r="E542" s="218" t="s">
        <v>91</v>
      </c>
      <c r="F542" s="217" t="s">
        <v>237</v>
      </c>
      <c r="G542" s="344">
        <f>G541</f>
        <v>3900.6303699999976</v>
      </c>
      <c r="H542" s="344">
        <f>H541</f>
        <v>3900.6303699999999</v>
      </c>
      <c r="I542" s="102">
        <f t="shared" si="48"/>
        <v>100.00000000000007</v>
      </c>
      <c r="J542" s="266"/>
      <c r="K542" s="266"/>
      <c r="L542" s="266"/>
      <c r="M542" s="266"/>
      <c r="N542" s="266"/>
    </row>
    <row r="543" spans="1:14" s="131" customFormat="1" ht="15.75" x14ac:dyDescent="0.25">
      <c r="A543" s="215" t="s">
        <v>92</v>
      </c>
      <c r="B543" s="218" t="s">
        <v>561</v>
      </c>
      <c r="C543" s="218" t="s">
        <v>159</v>
      </c>
      <c r="D543" s="218" t="s">
        <v>81</v>
      </c>
      <c r="E543" s="218" t="s">
        <v>98</v>
      </c>
      <c r="F543" s="217"/>
      <c r="G543" s="344">
        <f>G544</f>
        <v>40.198999999999998</v>
      </c>
      <c r="H543" s="344">
        <f>H544</f>
        <v>40.198999999999998</v>
      </c>
      <c r="I543" s="102">
        <f t="shared" si="48"/>
        <v>100</v>
      </c>
      <c r="J543" s="125"/>
      <c r="K543" s="125"/>
      <c r="L543" s="125"/>
      <c r="M543" s="125"/>
      <c r="N543" s="125"/>
    </row>
    <row r="544" spans="1:14" s="131" customFormat="1" ht="15.75" x14ac:dyDescent="0.25">
      <c r="A544" s="215" t="s">
        <v>223</v>
      </c>
      <c r="B544" s="218" t="s">
        <v>561</v>
      </c>
      <c r="C544" s="218" t="s">
        <v>159</v>
      </c>
      <c r="D544" s="218" t="s">
        <v>81</v>
      </c>
      <c r="E544" s="218" t="s">
        <v>94</v>
      </c>
      <c r="F544" s="217"/>
      <c r="G544" s="344">
        <f>'Пр.4 Ведом23'!G444</f>
        <v>40.198999999999998</v>
      </c>
      <c r="H544" s="344">
        <f>'Пр.4 Ведом23'!H444</f>
        <v>40.198999999999998</v>
      </c>
      <c r="I544" s="102">
        <f t="shared" si="48"/>
        <v>100</v>
      </c>
      <c r="J544" s="125"/>
      <c r="K544" s="125"/>
      <c r="L544" s="125"/>
      <c r="M544" s="125"/>
      <c r="N544" s="125"/>
    </row>
    <row r="545" spans="1:14" s="131" customFormat="1" ht="47.25" x14ac:dyDescent="0.25">
      <c r="A545" s="215" t="s">
        <v>876</v>
      </c>
      <c r="B545" s="218" t="s">
        <v>561</v>
      </c>
      <c r="C545" s="218" t="s">
        <v>159</v>
      </c>
      <c r="D545" s="218" t="s">
        <v>81</v>
      </c>
      <c r="E545" s="218" t="s">
        <v>94</v>
      </c>
      <c r="F545" s="217" t="s">
        <v>237</v>
      </c>
      <c r="G545" s="344">
        <f>G544</f>
        <v>40.198999999999998</v>
      </c>
      <c r="H545" s="344">
        <f>H544</f>
        <v>40.198999999999998</v>
      </c>
      <c r="I545" s="102">
        <f t="shared" si="48"/>
        <v>100</v>
      </c>
      <c r="J545" s="125"/>
      <c r="K545" s="125"/>
      <c r="L545" s="125"/>
      <c r="M545" s="125"/>
      <c r="N545" s="125"/>
    </row>
    <row r="546" spans="1:14" s="332" customFormat="1" ht="35.25" customHeight="1" x14ac:dyDescent="0.25">
      <c r="A546" s="335" t="s">
        <v>1118</v>
      </c>
      <c r="B546" s="334" t="s">
        <v>1120</v>
      </c>
      <c r="C546" s="334" t="s">
        <v>159</v>
      </c>
      <c r="D546" s="334" t="s">
        <v>81</v>
      </c>
      <c r="E546" s="334"/>
      <c r="F546" s="217"/>
      <c r="G546" s="344">
        <f>G547+G550</f>
        <v>1448.7460000000001</v>
      </c>
      <c r="H546" s="344">
        <f>H547+H550</f>
        <v>1448.7460000000001</v>
      </c>
      <c r="I546" s="102">
        <f t="shared" si="48"/>
        <v>100</v>
      </c>
      <c r="J546" s="125"/>
      <c r="K546" s="125"/>
      <c r="L546" s="125"/>
      <c r="M546" s="125"/>
      <c r="N546" s="125"/>
    </row>
    <row r="547" spans="1:14" s="332" customFormat="1" ht="90.6" hidden="1" customHeight="1" x14ac:dyDescent="0.25">
      <c r="A547" s="335" t="s">
        <v>84</v>
      </c>
      <c r="B547" s="334" t="s">
        <v>1120</v>
      </c>
      <c r="C547" s="334" t="s">
        <v>159</v>
      </c>
      <c r="D547" s="334" t="s">
        <v>81</v>
      </c>
      <c r="E547" s="334" t="s">
        <v>85</v>
      </c>
      <c r="F547" s="217"/>
      <c r="G547" s="344">
        <f>G548</f>
        <v>0</v>
      </c>
      <c r="H547" s="344">
        <f>H548</f>
        <v>0</v>
      </c>
      <c r="I547" s="102" t="e">
        <f t="shared" si="48"/>
        <v>#DIV/0!</v>
      </c>
      <c r="J547" s="125"/>
      <c r="K547" s="125"/>
      <c r="L547" s="125"/>
      <c r="M547" s="125"/>
      <c r="N547" s="125"/>
    </row>
    <row r="548" spans="1:14" s="332" customFormat="1" ht="31.5" hidden="1" x14ac:dyDescent="0.25">
      <c r="A548" s="335" t="s">
        <v>116</v>
      </c>
      <c r="B548" s="334" t="s">
        <v>1120</v>
      </c>
      <c r="C548" s="334" t="s">
        <v>159</v>
      </c>
      <c r="D548" s="334" t="s">
        <v>81</v>
      </c>
      <c r="E548" s="334" t="s">
        <v>117</v>
      </c>
      <c r="F548" s="217"/>
      <c r="G548" s="344">
        <f>'Пр.4 Ведом23'!G450</f>
        <v>0</v>
      </c>
      <c r="H548" s="344">
        <f>'Пр.4 Ведом23'!H450</f>
        <v>0</v>
      </c>
      <c r="I548" s="102" t="e">
        <f t="shared" si="48"/>
        <v>#DIV/0!</v>
      </c>
      <c r="J548" s="125"/>
      <c r="K548" s="125"/>
      <c r="L548" s="125"/>
      <c r="M548" s="125"/>
      <c r="N548" s="125"/>
    </row>
    <row r="549" spans="1:14" s="332" customFormat="1" ht="56.25" hidden="1" customHeight="1" x14ac:dyDescent="0.25">
      <c r="A549" s="335" t="s">
        <v>876</v>
      </c>
      <c r="B549" s="334" t="s">
        <v>1120</v>
      </c>
      <c r="C549" s="334" t="s">
        <v>159</v>
      </c>
      <c r="D549" s="334" t="s">
        <v>81</v>
      </c>
      <c r="E549" s="334" t="s">
        <v>117</v>
      </c>
      <c r="F549" s="217" t="s">
        <v>237</v>
      </c>
      <c r="G549" s="344">
        <f>G548</f>
        <v>0</v>
      </c>
      <c r="H549" s="344">
        <f>H548</f>
        <v>0</v>
      </c>
      <c r="I549" s="102" t="e">
        <f t="shared" si="48"/>
        <v>#DIV/0!</v>
      </c>
      <c r="J549" s="125"/>
      <c r="K549" s="125"/>
      <c r="L549" s="125"/>
      <c r="M549" s="125"/>
      <c r="N549" s="125"/>
    </row>
    <row r="550" spans="1:14" s="332" customFormat="1" ht="49.5" customHeight="1" x14ac:dyDescent="0.25">
      <c r="A550" s="335" t="s">
        <v>149</v>
      </c>
      <c r="B550" s="334" t="s">
        <v>1120</v>
      </c>
      <c r="C550" s="334" t="s">
        <v>159</v>
      </c>
      <c r="D550" s="334" t="s">
        <v>81</v>
      </c>
      <c r="E550" s="334" t="s">
        <v>150</v>
      </c>
      <c r="F550" s="217"/>
      <c r="G550" s="344">
        <f>G551</f>
        <v>1448.7460000000001</v>
      </c>
      <c r="H550" s="344">
        <f>H551</f>
        <v>1448.7460000000001</v>
      </c>
      <c r="I550" s="102">
        <f t="shared" si="48"/>
        <v>100</v>
      </c>
      <c r="J550" s="125"/>
      <c r="K550" s="125"/>
      <c r="L550" s="125"/>
      <c r="M550" s="125"/>
      <c r="N550" s="125"/>
    </row>
    <row r="551" spans="1:14" s="332" customFormat="1" ht="20.45" customHeight="1" x14ac:dyDescent="0.25">
      <c r="A551" s="335" t="s">
        <v>151</v>
      </c>
      <c r="B551" s="334" t="s">
        <v>1120</v>
      </c>
      <c r="C551" s="334" t="s">
        <v>159</v>
      </c>
      <c r="D551" s="334" t="s">
        <v>81</v>
      </c>
      <c r="E551" s="334" t="s">
        <v>152</v>
      </c>
      <c r="F551" s="217"/>
      <c r="G551" s="344">
        <f>'Пр.4 Ведом23'!G452</f>
        <v>1448.7460000000001</v>
      </c>
      <c r="H551" s="344">
        <f>'Пр.4 Ведом23'!H452</f>
        <v>1448.7460000000001</v>
      </c>
      <c r="I551" s="102">
        <f t="shared" si="48"/>
        <v>100</v>
      </c>
      <c r="J551" s="125"/>
      <c r="K551" s="125"/>
      <c r="L551" s="125"/>
      <c r="M551" s="125"/>
      <c r="N551" s="125"/>
    </row>
    <row r="552" spans="1:14" s="332" customFormat="1" ht="51.75" customHeight="1" x14ac:dyDescent="0.25">
      <c r="A552" s="335" t="s">
        <v>876</v>
      </c>
      <c r="B552" s="334" t="s">
        <v>1120</v>
      </c>
      <c r="C552" s="334" t="s">
        <v>159</v>
      </c>
      <c r="D552" s="334" t="s">
        <v>81</v>
      </c>
      <c r="E552" s="334" t="s">
        <v>152</v>
      </c>
      <c r="F552" s="217" t="s">
        <v>237</v>
      </c>
      <c r="G552" s="344">
        <f>G551</f>
        <v>1448.7460000000001</v>
      </c>
      <c r="H552" s="344">
        <f>H551</f>
        <v>1448.7460000000001</v>
      </c>
      <c r="I552" s="102">
        <f t="shared" si="48"/>
        <v>100</v>
      </c>
      <c r="J552" s="125"/>
      <c r="K552" s="125"/>
      <c r="L552" s="125"/>
      <c r="M552" s="125"/>
      <c r="N552" s="125"/>
    </row>
    <row r="553" spans="1:14" s="131" customFormat="1" ht="15.75" x14ac:dyDescent="0.25">
      <c r="A553" s="215" t="s">
        <v>230</v>
      </c>
      <c r="B553" s="218" t="s">
        <v>560</v>
      </c>
      <c r="C553" s="218" t="s">
        <v>132</v>
      </c>
      <c r="D553" s="218"/>
      <c r="E553" s="218"/>
      <c r="F553" s="217"/>
      <c r="G553" s="344">
        <f>G554</f>
        <v>6075.3240699999997</v>
      </c>
      <c r="H553" s="344">
        <f>H554</f>
        <v>6075.3240700000006</v>
      </c>
      <c r="I553" s="102">
        <f t="shared" si="48"/>
        <v>100.00000000000003</v>
      </c>
      <c r="J553" s="125"/>
      <c r="K553" s="125"/>
      <c r="L553" s="125"/>
      <c r="M553" s="125"/>
      <c r="N553" s="125"/>
    </row>
    <row r="554" spans="1:14" s="131" customFormat="1" ht="15.75" x14ac:dyDescent="0.25">
      <c r="A554" s="215" t="s">
        <v>231</v>
      </c>
      <c r="B554" s="218" t="s">
        <v>560</v>
      </c>
      <c r="C554" s="218" t="s">
        <v>132</v>
      </c>
      <c r="D554" s="218" t="s">
        <v>119</v>
      </c>
      <c r="E554" s="218"/>
      <c r="F554" s="217"/>
      <c r="G554" s="344">
        <f>G555+G565</f>
        <v>6075.3240699999997</v>
      </c>
      <c r="H554" s="344">
        <f>H555+H565</f>
        <v>6075.3240700000006</v>
      </c>
      <c r="I554" s="102">
        <f t="shared" si="48"/>
        <v>100.00000000000003</v>
      </c>
      <c r="J554" s="125"/>
      <c r="K554" s="125"/>
      <c r="L554" s="125"/>
      <c r="M554" s="125"/>
      <c r="N554" s="125"/>
    </row>
    <row r="555" spans="1:14" s="131" customFormat="1" ht="15.75" x14ac:dyDescent="0.25">
      <c r="A555" s="215" t="s">
        <v>283</v>
      </c>
      <c r="B555" s="218" t="s">
        <v>561</v>
      </c>
      <c r="C555" s="218" t="s">
        <v>132</v>
      </c>
      <c r="D555" s="218" t="s">
        <v>119</v>
      </c>
      <c r="E555" s="218"/>
      <c r="F555" s="217"/>
      <c r="G555" s="344">
        <f>G556+G559+G562</f>
        <v>5993.21407</v>
      </c>
      <c r="H555" s="344">
        <f>H556+H559+H562</f>
        <v>5993.2140700000009</v>
      </c>
      <c r="I555" s="102">
        <f t="shared" si="48"/>
        <v>100.00000000000003</v>
      </c>
      <c r="J555" s="125"/>
      <c r="K555" s="125"/>
      <c r="L555" s="125"/>
      <c r="M555" s="125"/>
      <c r="N555" s="125"/>
    </row>
    <row r="556" spans="1:14" s="131" customFormat="1" ht="78.75" x14ac:dyDescent="0.25">
      <c r="A556" s="215" t="s">
        <v>84</v>
      </c>
      <c r="B556" s="218" t="s">
        <v>561</v>
      </c>
      <c r="C556" s="218" t="s">
        <v>132</v>
      </c>
      <c r="D556" s="218" t="s">
        <v>119</v>
      </c>
      <c r="E556" s="218" t="s">
        <v>85</v>
      </c>
      <c r="F556" s="217"/>
      <c r="G556" s="344">
        <f>G557</f>
        <v>4991.2472599999992</v>
      </c>
      <c r="H556" s="344">
        <f>H557</f>
        <v>4991.2472600000001</v>
      </c>
      <c r="I556" s="102">
        <f t="shared" si="48"/>
        <v>100.00000000000003</v>
      </c>
      <c r="J556" s="125"/>
      <c r="K556" s="125"/>
      <c r="L556" s="125"/>
      <c r="M556" s="125"/>
      <c r="N556" s="125"/>
    </row>
    <row r="557" spans="1:14" s="131" customFormat="1" ht="31.5" x14ac:dyDescent="0.25">
      <c r="A557" s="215" t="s">
        <v>116</v>
      </c>
      <c r="B557" s="218" t="s">
        <v>561</v>
      </c>
      <c r="C557" s="218" t="s">
        <v>132</v>
      </c>
      <c r="D557" s="218" t="s">
        <v>119</v>
      </c>
      <c r="E557" s="218" t="s">
        <v>117</v>
      </c>
      <c r="F557" s="217"/>
      <c r="G557" s="344">
        <f>'Пр.4 Ведом23'!G620</f>
        <v>4991.2472599999992</v>
      </c>
      <c r="H557" s="344">
        <f>'Пр.4 Ведом23'!H620</f>
        <v>4991.2472600000001</v>
      </c>
      <c r="I557" s="102">
        <f t="shared" si="48"/>
        <v>100.00000000000003</v>
      </c>
      <c r="J557" s="125"/>
      <c r="K557" s="125"/>
      <c r="L557" s="125"/>
      <c r="M557" s="125"/>
      <c r="N557" s="125"/>
    </row>
    <row r="558" spans="1:14" s="131" customFormat="1" ht="47.25" x14ac:dyDescent="0.25">
      <c r="A558" s="215" t="s">
        <v>876</v>
      </c>
      <c r="B558" s="218" t="s">
        <v>561</v>
      </c>
      <c r="C558" s="218" t="s">
        <v>132</v>
      </c>
      <c r="D558" s="218" t="s">
        <v>119</v>
      </c>
      <c r="E558" s="218" t="s">
        <v>117</v>
      </c>
      <c r="F558" s="217" t="s">
        <v>237</v>
      </c>
      <c r="G558" s="344">
        <f>G557</f>
        <v>4991.2472599999992</v>
      </c>
      <c r="H558" s="344">
        <f>H557</f>
        <v>4991.2472600000001</v>
      </c>
      <c r="I558" s="102">
        <f t="shared" si="48"/>
        <v>100.00000000000003</v>
      </c>
      <c r="J558" s="125"/>
      <c r="K558" s="125"/>
      <c r="L558" s="125"/>
      <c r="M558" s="125"/>
      <c r="N558" s="125"/>
    </row>
    <row r="559" spans="1:14" s="131" customFormat="1" ht="31.5" x14ac:dyDescent="0.25">
      <c r="A559" s="215" t="s">
        <v>88</v>
      </c>
      <c r="B559" s="218" t="s">
        <v>561</v>
      </c>
      <c r="C559" s="218" t="s">
        <v>132</v>
      </c>
      <c r="D559" s="218" t="s">
        <v>119</v>
      </c>
      <c r="E559" s="218" t="s">
        <v>89</v>
      </c>
      <c r="F559" s="217"/>
      <c r="G559" s="344">
        <f>G560</f>
        <v>977.81281000000013</v>
      </c>
      <c r="H559" s="344">
        <f>H560</f>
        <v>977.81281000000001</v>
      </c>
      <c r="I559" s="102">
        <f t="shared" si="48"/>
        <v>99.999999999999986</v>
      </c>
      <c r="J559" s="125"/>
      <c r="K559" s="125"/>
      <c r="L559" s="125"/>
      <c r="M559" s="125"/>
      <c r="N559" s="125"/>
    </row>
    <row r="560" spans="1:14" s="131" customFormat="1" ht="47.25" x14ac:dyDescent="0.25">
      <c r="A560" s="215" t="s">
        <v>90</v>
      </c>
      <c r="B560" s="218" t="s">
        <v>561</v>
      </c>
      <c r="C560" s="218" t="s">
        <v>132</v>
      </c>
      <c r="D560" s="218" t="s">
        <v>119</v>
      </c>
      <c r="E560" s="218" t="s">
        <v>91</v>
      </c>
      <c r="F560" s="217"/>
      <c r="G560" s="344">
        <f>'Пр.4 Ведом23'!G622</f>
        <v>977.81281000000013</v>
      </c>
      <c r="H560" s="344">
        <f>'Пр.4 Ведом23'!H622</f>
        <v>977.81281000000001</v>
      </c>
      <c r="I560" s="102">
        <f t="shared" si="48"/>
        <v>99.999999999999986</v>
      </c>
      <c r="J560" s="125"/>
      <c r="K560" s="125"/>
      <c r="L560" s="125"/>
      <c r="M560" s="125"/>
      <c r="N560" s="125"/>
    </row>
    <row r="561" spans="1:14" s="131" customFormat="1" ht="47.25" x14ac:dyDescent="0.25">
      <c r="A561" s="215" t="s">
        <v>876</v>
      </c>
      <c r="B561" s="218" t="s">
        <v>561</v>
      </c>
      <c r="C561" s="218" t="s">
        <v>132</v>
      </c>
      <c r="D561" s="218" t="s">
        <v>119</v>
      </c>
      <c r="E561" s="218" t="s">
        <v>91</v>
      </c>
      <c r="F561" s="217" t="s">
        <v>237</v>
      </c>
      <c r="G561" s="344">
        <f>G560</f>
        <v>977.81281000000013</v>
      </c>
      <c r="H561" s="344">
        <f>H560</f>
        <v>977.81281000000001</v>
      </c>
      <c r="I561" s="102">
        <f t="shared" si="48"/>
        <v>99.999999999999986</v>
      </c>
      <c r="J561" s="125"/>
      <c r="K561" s="125"/>
      <c r="L561" s="125"/>
      <c r="M561" s="125"/>
      <c r="N561" s="125"/>
    </row>
    <row r="562" spans="1:14" s="131" customFormat="1" ht="15.75" x14ac:dyDescent="0.25">
      <c r="A562" s="215" t="s">
        <v>92</v>
      </c>
      <c r="B562" s="218" t="s">
        <v>561</v>
      </c>
      <c r="C562" s="218" t="s">
        <v>132</v>
      </c>
      <c r="D562" s="218" t="s">
        <v>119</v>
      </c>
      <c r="E562" s="218" t="s">
        <v>98</v>
      </c>
      <c r="F562" s="217"/>
      <c r="G562" s="344">
        <f>G563</f>
        <v>24.154</v>
      </c>
      <c r="H562" s="344">
        <f>H563</f>
        <v>24.154</v>
      </c>
      <c r="I562" s="102">
        <f t="shared" si="48"/>
        <v>100</v>
      </c>
      <c r="J562" s="125"/>
      <c r="K562" s="125"/>
      <c r="L562" s="125"/>
      <c r="M562" s="125"/>
      <c r="N562" s="125"/>
    </row>
    <row r="563" spans="1:14" s="131" customFormat="1" ht="15.75" x14ac:dyDescent="0.25">
      <c r="A563" s="215" t="s">
        <v>223</v>
      </c>
      <c r="B563" s="218" t="s">
        <v>561</v>
      </c>
      <c r="C563" s="218" t="s">
        <v>132</v>
      </c>
      <c r="D563" s="218" t="s">
        <v>119</v>
      </c>
      <c r="E563" s="218" t="s">
        <v>94</v>
      </c>
      <c r="F563" s="217"/>
      <c r="G563" s="344">
        <f>'Пр.4 Ведом23'!G624</f>
        <v>24.154</v>
      </c>
      <c r="H563" s="344">
        <f>'Пр.4 Ведом23'!H624</f>
        <v>24.154</v>
      </c>
      <c r="I563" s="102">
        <f t="shared" si="48"/>
        <v>100</v>
      </c>
      <c r="J563" s="125"/>
      <c r="K563" s="125"/>
      <c r="L563" s="125"/>
      <c r="M563" s="125"/>
      <c r="N563" s="125"/>
    </row>
    <row r="564" spans="1:14" s="131" customFormat="1" ht="47.25" x14ac:dyDescent="0.25">
      <c r="A564" s="215" t="s">
        <v>876</v>
      </c>
      <c r="B564" s="218" t="s">
        <v>561</v>
      </c>
      <c r="C564" s="218" t="s">
        <v>132</v>
      </c>
      <c r="D564" s="218" t="s">
        <v>119</v>
      </c>
      <c r="E564" s="218" t="s">
        <v>94</v>
      </c>
      <c r="F564" s="217" t="s">
        <v>237</v>
      </c>
      <c r="G564" s="344">
        <f>G563</f>
        <v>24.154</v>
      </c>
      <c r="H564" s="344">
        <f>H563</f>
        <v>24.154</v>
      </c>
      <c r="I564" s="102">
        <f t="shared" si="48"/>
        <v>100</v>
      </c>
      <c r="J564" s="125"/>
      <c r="K564" s="125"/>
      <c r="L564" s="125"/>
      <c r="M564" s="125"/>
      <c r="N564" s="125"/>
    </row>
    <row r="565" spans="1:14" s="332" customFormat="1" ht="31.5" x14ac:dyDescent="0.25">
      <c r="A565" s="356" t="s">
        <v>1118</v>
      </c>
      <c r="B565" s="334" t="s">
        <v>1120</v>
      </c>
      <c r="C565" s="334" t="s">
        <v>132</v>
      </c>
      <c r="D565" s="334" t="s">
        <v>119</v>
      </c>
      <c r="E565" s="334"/>
      <c r="F565" s="217"/>
      <c r="G565" s="344">
        <f>G566</f>
        <v>82.11</v>
      </c>
      <c r="H565" s="344">
        <f>H566</f>
        <v>82.11</v>
      </c>
      <c r="I565" s="102">
        <f t="shared" si="48"/>
        <v>100</v>
      </c>
      <c r="J565" s="125"/>
      <c r="K565" s="125"/>
      <c r="L565" s="125"/>
      <c r="M565" s="125"/>
      <c r="N565" s="125"/>
    </row>
    <row r="566" spans="1:14" s="332" customFormat="1" ht="90" customHeight="1" x14ac:dyDescent="0.25">
      <c r="A566" s="356" t="s">
        <v>84</v>
      </c>
      <c r="B566" s="334" t="s">
        <v>1120</v>
      </c>
      <c r="C566" s="334" t="s">
        <v>132</v>
      </c>
      <c r="D566" s="334" t="s">
        <v>119</v>
      </c>
      <c r="E566" s="334" t="s">
        <v>85</v>
      </c>
      <c r="F566" s="217"/>
      <c r="G566" s="344">
        <f>G567</f>
        <v>82.11</v>
      </c>
      <c r="H566" s="344">
        <f>H567</f>
        <v>82.11</v>
      </c>
      <c r="I566" s="102">
        <f t="shared" si="48"/>
        <v>100</v>
      </c>
      <c r="J566" s="125"/>
      <c r="K566" s="125"/>
      <c r="L566" s="125"/>
      <c r="M566" s="125"/>
      <c r="N566" s="125"/>
    </row>
    <row r="567" spans="1:14" s="332" customFormat="1" ht="19.899999999999999" customHeight="1" x14ac:dyDescent="0.25">
      <c r="A567" s="356" t="s">
        <v>116</v>
      </c>
      <c r="B567" s="334" t="s">
        <v>1120</v>
      </c>
      <c r="C567" s="334" t="s">
        <v>132</v>
      </c>
      <c r="D567" s="334" t="s">
        <v>119</v>
      </c>
      <c r="E567" s="334" t="s">
        <v>117</v>
      </c>
      <c r="F567" s="217"/>
      <c r="G567" s="344">
        <f>'Пр.4 Ведом23'!G627</f>
        <v>82.11</v>
      </c>
      <c r="H567" s="344">
        <f>'Пр.4 Ведом23'!H627</f>
        <v>82.11</v>
      </c>
      <c r="I567" s="102">
        <f t="shared" si="48"/>
        <v>100</v>
      </c>
      <c r="J567" s="125"/>
      <c r="K567" s="125"/>
      <c r="L567" s="125"/>
      <c r="M567" s="125"/>
      <c r="N567" s="125"/>
    </row>
    <row r="568" spans="1:14" s="332" customFormat="1" ht="53.25" customHeight="1" x14ac:dyDescent="0.25">
      <c r="A568" s="356" t="s">
        <v>876</v>
      </c>
      <c r="B568" s="334" t="s">
        <v>1120</v>
      </c>
      <c r="C568" s="334" t="s">
        <v>132</v>
      </c>
      <c r="D568" s="334" t="s">
        <v>119</v>
      </c>
      <c r="E568" s="334" t="s">
        <v>117</v>
      </c>
      <c r="F568" s="217" t="s">
        <v>237</v>
      </c>
      <c r="G568" s="344">
        <f>G567</f>
        <v>82.11</v>
      </c>
      <c r="H568" s="344">
        <f>H567</f>
        <v>82.11</v>
      </c>
      <c r="I568" s="102">
        <f t="shared" si="48"/>
        <v>100</v>
      </c>
      <c r="J568" s="125"/>
      <c r="K568" s="125"/>
      <c r="L568" s="125"/>
      <c r="M568" s="125"/>
      <c r="N568" s="125"/>
    </row>
    <row r="569" spans="1:14" s="332" customFormat="1" ht="15.75" x14ac:dyDescent="0.25">
      <c r="A569" s="356" t="s">
        <v>144</v>
      </c>
      <c r="B569" s="334" t="s">
        <v>560</v>
      </c>
      <c r="C569" s="334" t="s">
        <v>145</v>
      </c>
      <c r="D569" s="334"/>
      <c r="E569" s="334"/>
      <c r="F569" s="217"/>
      <c r="G569" s="9">
        <f>G570+G579</f>
        <v>211.79136</v>
      </c>
      <c r="H569" s="9">
        <f>H570+H579</f>
        <v>211.79136</v>
      </c>
      <c r="I569" s="102">
        <f t="shared" si="48"/>
        <v>100</v>
      </c>
      <c r="J569" s="125"/>
      <c r="K569" s="125"/>
      <c r="L569" s="125"/>
      <c r="M569" s="125"/>
      <c r="N569" s="125"/>
    </row>
    <row r="570" spans="1:14" s="332" customFormat="1" ht="15.75" x14ac:dyDescent="0.25">
      <c r="A570" s="356" t="s">
        <v>146</v>
      </c>
      <c r="B570" s="334" t="s">
        <v>560</v>
      </c>
      <c r="C570" s="334" t="s">
        <v>145</v>
      </c>
      <c r="D570" s="334" t="s">
        <v>120</v>
      </c>
      <c r="E570" s="334"/>
      <c r="F570" s="217"/>
      <c r="G570" s="9">
        <f>G571+G575</f>
        <v>94.611360000000005</v>
      </c>
      <c r="H570" s="9">
        <f>H571+H575</f>
        <v>94.611360000000005</v>
      </c>
      <c r="I570" s="102">
        <f t="shared" si="48"/>
        <v>100</v>
      </c>
      <c r="J570" s="125"/>
      <c r="K570" s="125"/>
      <c r="L570" s="125"/>
      <c r="M570" s="125"/>
      <c r="N570" s="125"/>
    </row>
    <row r="571" spans="1:14" s="332" customFormat="1" ht="39.75" customHeight="1" x14ac:dyDescent="0.25">
      <c r="A571" s="356" t="s">
        <v>1086</v>
      </c>
      <c r="B571" s="334" t="s">
        <v>1082</v>
      </c>
      <c r="C571" s="334" t="s">
        <v>145</v>
      </c>
      <c r="D571" s="334" t="s">
        <v>120</v>
      </c>
      <c r="E571" s="334"/>
      <c r="F571" s="217"/>
      <c r="G571" s="9">
        <f>G572</f>
        <v>78.12</v>
      </c>
      <c r="H571" s="9">
        <f>H572</f>
        <v>78.12</v>
      </c>
      <c r="I571" s="102">
        <f t="shared" si="48"/>
        <v>100</v>
      </c>
      <c r="J571" s="125"/>
      <c r="K571" s="125"/>
      <c r="L571" s="125"/>
      <c r="M571" s="125"/>
      <c r="N571" s="125"/>
    </row>
    <row r="572" spans="1:14" s="332" customFormat="1" ht="75.75" customHeight="1" x14ac:dyDescent="0.25">
      <c r="A572" s="356" t="s">
        <v>84</v>
      </c>
      <c r="B572" s="334" t="s">
        <v>1082</v>
      </c>
      <c r="C572" s="334" t="s">
        <v>145</v>
      </c>
      <c r="D572" s="334" t="s">
        <v>120</v>
      </c>
      <c r="E572" s="334" t="s">
        <v>85</v>
      </c>
      <c r="F572" s="217"/>
      <c r="G572" s="9">
        <f>G573</f>
        <v>78.12</v>
      </c>
      <c r="H572" s="9">
        <f>H573</f>
        <v>78.12</v>
      </c>
      <c r="I572" s="102">
        <f t="shared" si="48"/>
        <v>100</v>
      </c>
      <c r="J572" s="125"/>
      <c r="K572" s="125"/>
      <c r="L572" s="125"/>
      <c r="M572" s="125"/>
      <c r="N572" s="125"/>
    </row>
    <row r="573" spans="1:14" s="332" customFormat="1" ht="34.5" customHeight="1" x14ac:dyDescent="0.25">
      <c r="A573" s="356" t="s">
        <v>168</v>
      </c>
      <c r="B573" s="334" t="s">
        <v>1082</v>
      </c>
      <c r="C573" s="334" t="s">
        <v>145</v>
      </c>
      <c r="D573" s="334" t="s">
        <v>120</v>
      </c>
      <c r="E573" s="334" t="s">
        <v>117</v>
      </c>
      <c r="F573" s="217"/>
      <c r="G573" s="9">
        <f>'Пр.4 Ведом23'!G374</f>
        <v>78.12</v>
      </c>
      <c r="H573" s="9">
        <f>'Пр.4 Ведом23'!H374</f>
        <v>78.12</v>
      </c>
      <c r="I573" s="102">
        <f t="shared" si="48"/>
        <v>100</v>
      </c>
      <c r="J573" s="125"/>
      <c r="K573" s="125"/>
      <c r="L573" s="125"/>
      <c r="M573" s="125"/>
      <c r="N573" s="125"/>
    </row>
    <row r="574" spans="1:14" s="332" customFormat="1" ht="48" customHeight="1" x14ac:dyDescent="0.25">
      <c r="A574" s="356" t="s">
        <v>876</v>
      </c>
      <c r="B574" s="334" t="s">
        <v>1082</v>
      </c>
      <c r="C574" s="334" t="s">
        <v>145</v>
      </c>
      <c r="D574" s="334" t="s">
        <v>120</v>
      </c>
      <c r="E574" s="334" t="s">
        <v>117</v>
      </c>
      <c r="F574" s="217" t="s">
        <v>237</v>
      </c>
      <c r="G574" s="9">
        <f>G573</f>
        <v>78.12</v>
      </c>
      <c r="H574" s="9">
        <f>H573</f>
        <v>78.12</v>
      </c>
      <c r="I574" s="102">
        <f t="shared" si="48"/>
        <v>100</v>
      </c>
      <c r="J574" s="125"/>
      <c r="K574" s="125"/>
      <c r="L574" s="125"/>
      <c r="M574" s="125"/>
      <c r="N574" s="125"/>
    </row>
    <row r="575" spans="1:14" s="332" customFormat="1" ht="48" customHeight="1" x14ac:dyDescent="0.25">
      <c r="A575" s="356" t="s">
        <v>1107</v>
      </c>
      <c r="B575" s="334" t="s">
        <v>1111</v>
      </c>
      <c r="C575" s="334" t="s">
        <v>145</v>
      </c>
      <c r="D575" s="334" t="s">
        <v>120</v>
      </c>
      <c r="E575" s="334"/>
      <c r="F575" s="217"/>
      <c r="G575" s="9">
        <f>G576</f>
        <v>16.49136</v>
      </c>
      <c r="H575" s="9">
        <f>H576</f>
        <v>16.49136</v>
      </c>
      <c r="I575" s="102">
        <f t="shared" si="48"/>
        <v>100</v>
      </c>
      <c r="J575" s="125"/>
      <c r="K575" s="125"/>
      <c r="L575" s="125"/>
      <c r="M575" s="125"/>
      <c r="N575" s="125"/>
    </row>
    <row r="576" spans="1:14" s="332" customFormat="1" ht="79.5" customHeight="1" x14ac:dyDescent="0.25">
      <c r="A576" s="356" t="s">
        <v>84</v>
      </c>
      <c r="B576" s="334" t="s">
        <v>1111</v>
      </c>
      <c r="C576" s="334" t="s">
        <v>145</v>
      </c>
      <c r="D576" s="334" t="s">
        <v>120</v>
      </c>
      <c r="E576" s="334" t="s">
        <v>85</v>
      </c>
      <c r="F576" s="217"/>
      <c r="G576" s="9">
        <f>G577</f>
        <v>16.49136</v>
      </c>
      <c r="H576" s="9">
        <f>H577</f>
        <v>16.49136</v>
      </c>
      <c r="I576" s="102">
        <f t="shared" si="48"/>
        <v>100</v>
      </c>
      <c r="J576" s="125"/>
      <c r="K576" s="125"/>
      <c r="L576" s="125"/>
      <c r="M576" s="125"/>
      <c r="N576" s="125"/>
    </row>
    <row r="577" spans="1:14" s="332" customFormat="1" ht="31.5" x14ac:dyDescent="0.25">
      <c r="A577" s="356" t="s">
        <v>168</v>
      </c>
      <c r="B577" s="334" t="s">
        <v>1111</v>
      </c>
      <c r="C577" s="334" t="s">
        <v>145</v>
      </c>
      <c r="D577" s="334" t="s">
        <v>120</v>
      </c>
      <c r="E577" s="334" t="s">
        <v>117</v>
      </c>
      <c r="F577" s="217"/>
      <c r="G577" s="9">
        <f>'Пр.4 Ведом23'!G380</f>
        <v>16.49136</v>
      </c>
      <c r="H577" s="9">
        <f>'Пр.4 Ведом23'!H380</f>
        <v>16.49136</v>
      </c>
      <c r="I577" s="102">
        <f t="shared" si="48"/>
        <v>100</v>
      </c>
      <c r="J577" s="125"/>
      <c r="K577" s="125"/>
      <c r="L577" s="125"/>
      <c r="M577" s="125"/>
      <c r="N577" s="125"/>
    </row>
    <row r="578" spans="1:14" s="332" customFormat="1" ht="66.75" customHeight="1" x14ac:dyDescent="0.25">
      <c r="A578" s="356" t="s">
        <v>876</v>
      </c>
      <c r="B578" s="334" t="s">
        <v>1111</v>
      </c>
      <c r="C578" s="334" t="s">
        <v>145</v>
      </c>
      <c r="D578" s="334" t="s">
        <v>120</v>
      </c>
      <c r="E578" s="334" t="s">
        <v>117</v>
      </c>
      <c r="F578" s="217" t="s">
        <v>237</v>
      </c>
      <c r="G578" s="9">
        <f>G577</f>
        <v>16.49136</v>
      </c>
      <c r="H578" s="9">
        <f>H577</f>
        <v>16.49136</v>
      </c>
      <c r="I578" s="102">
        <f t="shared" si="48"/>
        <v>100</v>
      </c>
      <c r="J578" s="125"/>
      <c r="K578" s="125"/>
      <c r="L578" s="125"/>
      <c r="M578" s="125"/>
      <c r="N578" s="125"/>
    </row>
    <row r="579" spans="1:14" s="332" customFormat="1" ht="15.75" x14ac:dyDescent="0.25">
      <c r="A579" s="40" t="s">
        <v>158</v>
      </c>
      <c r="B579" s="334" t="s">
        <v>560</v>
      </c>
      <c r="C579" s="334" t="s">
        <v>159</v>
      </c>
      <c r="D579" s="334"/>
      <c r="E579" s="334"/>
      <c r="F579" s="217"/>
      <c r="G579" s="9">
        <f t="shared" ref="G579:H582" si="49">G580</f>
        <v>117.18</v>
      </c>
      <c r="H579" s="9">
        <f t="shared" si="49"/>
        <v>117.18</v>
      </c>
      <c r="I579" s="102">
        <f t="shared" si="48"/>
        <v>100</v>
      </c>
      <c r="J579" s="125"/>
      <c r="K579" s="125"/>
      <c r="L579" s="125"/>
      <c r="M579" s="125"/>
      <c r="N579" s="125"/>
    </row>
    <row r="580" spans="1:14" s="332" customFormat="1" ht="15.75" x14ac:dyDescent="0.25">
      <c r="A580" s="40" t="s">
        <v>160</v>
      </c>
      <c r="B580" s="334" t="s">
        <v>560</v>
      </c>
      <c r="C580" s="334" t="s">
        <v>159</v>
      </c>
      <c r="D580" s="334" t="s">
        <v>81</v>
      </c>
      <c r="E580" s="334"/>
      <c r="F580" s="217"/>
      <c r="G580" s="9">
        <f t="shared" si="49"/>
        <v>117.18</v>
      </c>
      <c r="H580" s="9">
        <f t="shared" si="49"/>
        <v>117.18</v>
      </c>
      <c r="I580" s="102">
        <f t="shared" si="48"/>
        <v>100</v>
      </c>
      <c r="J580" s="125"/>
      <c r="K580" s="125"/>
      <c r="L580" s="125"/>
      <c r="M580" s="125"/>
      <c r="N580" s="125"/>
    </row>
    <row r="581" spans="1:14" s="332" customFormat="1" ht="48" customHeight="1" x14ac:dyDescent="0.25">
      <c r="A581" s="356" t="s">
        <v>1086</v>
      </c>
      <c r="B581" s="334" t="s">
        <v>1082</v>
      </c>
      <c r="C581" s="334" t="s">
        <v>159</v>
      </c>
      <c r="D581" s="334" t="s">
        <v>81</v>
      </c>
      <c r="E581" s="334"/>
      <c r="F581" s="217"/>
      <c r="G581" s="9">
        <f t="shared" si="49"/>
        <v>117.18</v>
      </c>
      <c r="H581" s="9">
        <f t="shared" si="49"/>
        <v>117.18</v>
      </c>
      <c r="I581" s="102">
        <f t="shared" si="48"/>
        <v>100</v>
      </c>
      <c r="J581" s="125"/>
      <c r="K581" s="125"/>
      <c r="L581" s="125"/>
      <c r="M581" s="125"/>
      <c r="N581" s="125"/>
    </row>
    <row r="582" spans="1:14" s="332" customFormat="1" ht="48" customHeight="1" x14ac:dyDescent="0.25">
      <c r="A582" s="356" t="s">
        <v>149</v>
      </c>
      <c r="B582" s="334" t="s">
        <v>1082</v>
      </c>
      <c r="C582" s="334" t="s">
        <v>159</v>
      </c>
      <c r="D582" s="334" t="s">
        <v>81</v>
      </c>
      <c r="E582" s="334" t="s">
        <v>150</v>
      </c>
      <c r="F582" s="217"/>
      <c r="G582" s="9">
        <f t="shared" si="49"/>
        <v>117.18</v>
      </c>
      <c r="H582" s="9">
        <f t="shared" si="49"/>
        <v>117.18</v>
      </c>
      <c r="I582" s="102">
        <f t="shared" si="48"/>
        <v>100</v>
      </c>
      <c r="J582" s="125"/>
      <c r="K582" s="125"/>
      <c r="L582" s="125"/>
      <c r="M582" s="125"/>
      <c r="N582" s="125"/>
    </row>
    <row r="583" spans="1:14" s="332" customFormat="1" ht="48" customHeight="1" x14ac:dyDescent="0.25">
      <c r="A583" s="356" t="s">
        <v>151</v>
      </c>
      <c r="B583" s="334" t="s">
        <v>1082</v>
      </c>
      <c r="C583" s="334" t="s">
        <v>159</v>
      </c>
      <c r="D583" s="334" t="s">
        <v>81</v>
      </c>
      <c r="E583" s="334" t="s">
        <v>152</v>
      </c>
      <c r="F583" s="217"/>
      <c r="G583" s="9">
        <f>'Пр.4 Ведом23'!G447</f>
        <v>117.18</v>
      </c>
      <c r="H583" s="9">
        <f>'Пр.4 Ведом23'!H447</f>
        <v>117.18</v>
      </c>
      <c r="I583" s="102">
        <f t="shared" si="48"/>
        <v>100</v>
      </c>
      <c r="J583" s="125"/>
      <c r="K583" s="125"/>
      <c r="L583" s="125"/>
      <c r="M583" s="125"/>
      <c r="N583" s="125"/>
    </row>
    <row r="584" spans="1:14" s="332" customFormat="1" ht="48" customHeight="1" x14ac:dyDescent="0.25">
      <c r="A584" s="356" t="s">
        <v>876</v>
      </c>
      <c r="B584" s="334" t="s">
        <v>1082</v>
      </c>
      <c r="C584" s="334" t="s">
        <v>159</v>
      </c>
      <c r="D584" s="334" t="s">
        <v>81</v>
      </c>
      <c r="E584" s="334" t="s">
        <v>152</v>
      </c>
      <c r="F584" s="217" t="s">
        <v>237</v>
      </c>
      <c r="G584" s="9">
        <f>G583</f>
        <v>117.18</v>
      </c>
      <c r="H584" s="9">
        <f>H583</f>
        <v>117.18</v>
      </c>
      <c r="I584" s="102">
        <f t="shared" si="48"/>
        <v>100</v>
      </c>
      <c r="J584" s="125"/>
      <c r="K584" s="125"/>
      <c r="L584" s="125"/>
      <c r="M584" s="125"/>
      <c r="N584" s="125"/>
    </row>
    <row r="585" spans="1:14" s="131" customFormat="1" ht="31.5" x14ac:dyDescent="0.25">
      <c r="A585" s="213" t="s">
        <v>624</v>
      </c>
      <c r="B585" s="117" t="s">
        <v>562</v>
      </c>
      <c r="C585" s="117"/>
      <c r="D585" s="218"/>
      <c r="E585" s="117"/>
      <c r="F585" s="217"/>
      <c r="G585" s="302">
        <f>G586+G599</f>
        <v>3149.1821199999999</v>
      </c>
      <c r="H585" s="567">
        <f>H586+H599</f>
        <v>3149.1821199999999</v>
      </c>
      <c r="I585" s="221">
        <f t="shared" si="48"/>
        <v>100</v>
      </c>
      <c r="J585" s="125"/>
      <c r="K585" s="125"/>
      <c r="L585" s="125"/>
      <c r="M585" s="125"/>
      <c r="N585" s="125"/>
    </row>
    <row r="586" spans="1:14" s="131" customFormat="1" ht="15.75" x14ac:dyDescent="0.25">
      <c r="A586" s="215" t="s">
        <v>144</v>
      </c>
      <c r="B586" s="218" t="s">
        <v>562</v>
      </c>
      <c r="C586" s="218" t="s">
        <v>145</v>
      </c>
      <c r="D586" s="218"/>
      <c r="E586" s="117"/>
      <c r="F586" s="217"/>
      <c r="G586" s="344">
        <f>G587</f>
        <v>143.44499999999999</v>
      </c>
      <c r="H586" s="344">
        <f>H587</f>
        <v>143.44499999999999</v>
      </c>
      <c r="I586" s="102">
        <f t="shared" si="48"/>
        <v>100</v>
      </c>
      <c r="J586" s="125"/>
      <c r="K586" s="125"/>
      <c r="L586" s="125"/>
      <c r="M586" s="125"/>
      <c r="N586" s="125"/>
    </row>
    <row r="587" spans="1:14" s="131" customFormat="1" ht="15.75" x14ac:dyDescent="0.25">
      <c r="A587" s="215" t="s">
        <v>146</v>
      </c>
      <c r="B587" s="218" t="s">
        <v>562</v>
      </c>
      <c r="C587" s="218" t="s">
        <v>145</v>
      </c>
      <c r="D587" s="218" t="s">
        <v>120</v>
      </c>
      <c r="E587" s="117"/>
      <c r="F587" s="217"/>
      <c r="G587" s="344">
        <f>G588+G592</f>
        <v>143.44499999999999</v>
      </c>
      <c r="H587" s="344">
        <f>H588+H592</f>
        <v>143.44499999999999</v>
      </c>
      <c r="I587" s="102">
        <f t="shared" si="48"/>
        <v>100</v>
      </c>
      <c r="J587" s="125"/>
      <c r="K587" s="125"/>
      <c r="L587" s="125"/>
      <c r="M587" s="125"/>
      <c r="N587" s="125"/>
    </row>
    <row r="588" spans="1:14" s="131" customFormat="1" ht="33.75" customHeight="1" x14ac:dyDescent="0.25">
      <c r="A588" s="26" t="s">
        <v>281</v>
      </c>
      <c r="B588" s="218" t="s">
        <v>563</v>
      </c>
      <c r="C588" s="218" t="s">
        <v>145</v>
      </c>
      <c r="D588" s="218" t="s">
        <v>120</v>
      </c>
      <c r="E588" s="218"/>
      <c r="F588" s="217"/>
      <c r="G588" s="344">
        <f>G589</f>
        <v>45.6</v>
      </c>
      <c r="H588" s="344">
        <f>H589</f>
        <v>45.6</v>
      </c>
      <c r="I588" s="102">
        <f t="shared" si="48"/>
        <v>100</v>
      </c>
      <c r="J588" s="125"/>
      <c r="K588" s="125"/>
      <c r="L588" s="125"/>
      <c r="M588" s="125"/>
      <c r="N588" s="125"/>
    </row>
    <row r="589" spans="1:14" s="131" customFormat="1" ht="31.5" x14ac:dyDescent="0.25">
      <c r="A589" s="215" t="s">
        <v>137</v>
      </c>
      <c r="B589" s="218" t="s">
        <v>563</v>
      </c>
      <c r="C589" s="218" t="s">
        <v>145</v>
      </c>
      <c r="D589" s="218" t="s">
        <v>120</v>
      </c>
      <c r="E589" s="218" t="s">
        <v>138</v>
      </c>
      <c r="F589" s="217"/>
      <c r="G589" s="344">
        <f>G590</f>
        <v>45.6</v>
      </c>
      <c r="H589" s="344">
        <f>H590</f>
        <v>45.6</v>
      </c>
      <c r="I589" s="102">
        <f t="shared" si="48"/>
        <v>100</v>
      </c>
      <c r="J589" s="125"/>
      <c r="K589" s="125"/>
      <c r="L589" s="125"/>
      <c r="M589" s="125"/>
      <c r="N589" s="125"/>
    </row>
    <row r="590" spans="1:14" s="131" customFormat="1" ht="17.45" customHeight="1" x14ac:dyDescent="0.25">
      <c r="A590" s="215" t="s">
        <v>294</v>
      </c>
      <c r="B590" s="218" t="s">
        <v>563</v>
      </c>
      <c r="C590" s="218" t="s">
        <v>145</v>
      </c>
      <c r="D590" s="218" t="s">
        <v>120</v>
      </c>
      <c r="E590" s="218" t="s">
        <v>293</v>
      </c>
      <c r="F590" s="217"/>
      <c r="G590" s="344">
        <f>'Пр.4 Ведом23'!G384</f>
        <v>45.6</v>
      </c>
      <c r="H590" s="344">
        <f>'Пр.4 Ведом23'!H384</f>
        <v>45.6</v>
      </c>
      <c r="I590" s="102">
        <f t="shared" si="48"/>
        <v>100</v>
      </c>
      <c r="J590" s="125"/>
      <c r="K590" s="125"/>
      <c r="L590" s="125"/>
      <c r="M590" s="125"/>
      <c r="N590" s="125"/>
    </row>
    <row r="591" spans="1:14" s="131" customFormat="1" ht="47.45" customHeight="1" x14ac:dyDescent="0.25">
      <c r="A591" s="215" t="s">
        <v>876</v>
      </c>
      <c r="B591" s="218" t="s">
        <v>563</v>
      </c>
      <c r="C591" s="218" t="s">
        <v>145</v>
      </c>
      <c r="D591" s="218" t="s">
        <v>120</v>
      </c>
      <c r="E591" s="218" t="s">
        <v>293</v>
      </c>
      <c r="F591" s="217" t="s">
        <v>237</v>
      </c>
      <c r="G591" s="344">
        <f>G590</f>
        <v>45.6</v>
      </c>
      <c r="H591" s="344">
        <f>H590</f>
        <v>45.6</v>
      </c>
      <c r="I591" s="102">
        <f t="shared" si="48"/>
        <v>100</v>
      </c>
      <c r="J591" s="125"/>
      <c r="K591" s="125"/>
      <c r="L591" s="125"/>
      <c r="M591" s="125"/>
      <c r="N591" s="125"/>
    </row>
    <row r="592" spans="1:14" s="131" customFormat="1" ht="31.5" x14ac:dyDescent="0.25">
      <c r="A592" s="20" t="s">
        <v>290</v>
      </c>
      <c r="B592" s="218" t="s">
        <v>564</v>
      </c>
      <c r="C592" s="218" t="s">
        <v>145</v>
      </c>
      <c r="D592" s="218" t="s">
        <v>120</v>
      </c>
      <c r="E592" s="218"/>
      <c r="F592" s="217"/>
      <c r="G592" s="344">
        <f>G593</f>
        <v>97.844999999999999</v>
      </c>
      <c r="H592" s="344">
        <f>H593</f>
        <v>97.844999999999999</v>
      </c>
      <c r="I592" s="102">
        <f t="shared" si="48"/>
        <v>100</v>
      </c>
      <c r="J592" s="125"/>
      <c r="K592" s="125"/>
      <c r="L592" s="125"/>
      <c r="M592" s="125"/>
      <c r="N592" s="125"/>
    </row>
    <row r="593" spans="1:14" s="75" customFormat="1" ht="48.2" customHeight="1" x14ac:dyDescent="0.25">
      <c r="A593" s="215" t="s">
        <v>84</v>
      </c>
      <c r="B593" s="218" t="s">
        <v>564</v>
      </c>
      <c r="C593" s="218" t="s">
        <v>145</v>
      </c>
      <c r="D593" s="218" t="s">
        <v>120</v>
      </c>
      <c r="E593" s="218" t="s">
        <v>85</v>
      </c>
      <c r="F593" s="217"/>
      <c r="G593" s="344">
        <f>G594</f>
        <v>97.844999999999999</v>
      </c>
      <c r="H593" s="344">
        <f>H594</f>
        <v>97.844999999999999</v>
      </c>
      <c r="I593" s="102">
        <f t="shared" ref="I593:I656" si="50">H593/G593*100</f>
        <v>100</v>
      </c>
      <c r="J593" s="125"/>
      <c r="K593" s="125"/>
      <c r="L593" s="125"/>
      <c r="M593" s="125"/>
      <c r="N593" s="125"/>
    </row>
    <row r="594" spans="1:14" s="75" customFormat="1" ht="15" customHeight="1" x14ac:dyDescent="0.25">
      <c r="A594" s="27" t="s">
        <v>168</v>
      </c>
      <c r="B594" s="218" t="s">
        <v>564</v>
      </c>
      <c r="C594" s="218" t="s">
        <v>145</v>
      </c>
      <c r="D594" s="218" t="s">
        <v>120</v>
      </c>
      <c r="E594" s="218" t="s">
        <v>117</v>
      </c>
      <c r="F594" s="217"/>
      <c r="G594" s="344">
        <f>'Пр.4 Ведом23'!G387</f>
        <v>97.844999999999999</v>
      </c>
      <c r="H594" s="344">
        <f>'Пр.4 Ведом23'!H387</f>
        <v>97.844999999999999</v>
      </c>
      <c r="I594" s="102">
        <f t="shared" si="50"/>
        <v>100</v>
      </c>
      <c r="J594" s="125"/>
      <c r="K594" s="125"/>
      <c r="L594" s="125"/>
      <c r="M594" s="125"/>
      <c r="N594" s="125"/>
    </row>
    <row r="595" spans="1:14" s="131" customFormat="1" ht="49.15" customHeight="1" x14ac:dyDescent="0.25">
      <c r="A595" s="215" t="s">
        <v>876</v>
      </c>
      <c r="B595" s="218" t="s">
        <v>564</v>
      </c>
      <c r="C595" s="218" t="s">
        <v>145</v>
      </c>
      <c r="D595" s="218" t="s">
        <v>120</v>
      </c>
      <c r="E595" s="218" t="s">
        <v>117</v>
      </c>
      <c r="F595" s="217" t="s">
        <v>237</v>
      </c>
      <c r="G595" s="344">
        <f>G594</f>
        <v>97.844999999999999</v>
      </c>
      <c r="H595" s="344">
        <f>H594</f>
        <v>97.844999999999999</v>
      </c>
      <c r="I595" s="102">
        <f t="shared" si="50"/>
        <v>100</v>
      </c>
      <c r="J595" s="125"/>
      <c r="K595" s="125"/>
      <c r="L595" s="125"/>
      <c r="M595" s="125"/>
      <c r="N595" s="125"/>
    </row>
    <row r="596" spans="1:14" s="75" customFormat="1" ht="35.450000000000003" hidden="1" customHeight="1" x14ac:dyDescent="0.25">
      <c r="A596" s="215" t="s">
        <v>88</v>
      </c>
      <c r="B596" s="218" t="s">
        <v>564</v>
      </c>
      <c r="C596" s="218" t="s">
        <v>145</v>
      </c>
      <c r="D596" s="218" t="s">
        <v>120</v>
      </c>
      <c r="E596" s="218" t="s">
        <v>89</v>
      </c>
      <c r="F596" s="217"/>
      <c r="G596" s="344">
        <f>G597</f>
        <v>0</v>
      </c>
      <c r="H596" s="344">
        <f>H597</f>
        <v>0</v>
      </c>
      <c r="I596" s="102" t="e">
        <f t="shared" si="50"/>
        <v>#DIV/0!</v>
      </c>
      <c r="J596" s="125"/>
      <c r="K596" s="125"/>
      <c r="L596" s="125"/>
      <c r="M596" s="125"/>
      <c r="N596" s="125"/>
    </row>
    <row r="597" spans="1:14" s="75" customFormat="1" ht="37.15" hidden="1" customHeight="1" x14ac:dyDescent="0.25">
      <c r="A597" s="215" t="s">
        <v>90</v>
      </c>
      <c r="B597" s="218" t="s">
        <v>564</v>
      </c>
      <c r="C597" s="218" t="s">
        <v>145</v>
      </c>
      <c r="D597" s="218" t="s">
        <v>120</v>
      </c>
      <c r="E597" s="218" t="s">
        <v>91</v>
      </c>
      <c r="F597" s="217"/>
      <c r="G597" s="344">
        <f>'Пр.4 Ведом23'!G389</f>
        <v>0</v>
      </c>
      <c r="H597" s="344">
        <f>'Пр.4 Ведом23'!H389</f>
        <v>0</v>
      </c>
      <c r="I597" s="102" t="e">
        <f t="shared" si="50"/>
        <v>#DIV/0!</v>
      </c>
      <c r="J597" s="125"/>
      <c r="K597" s="125"/>
      <c r="L597" s="125"/>
      <c r="M597" s="125"/>
      <c r="N597" s="125"/>
    </row>
    <row r="598" spans="1:14" s="131" customFormat="1" ht="51" hidden="1" customHeight="1" x14ac:dyDescent="0.25">
      <c r="A598" s="215" t="s">
        <v>876</v>
      </c>
      <c r="B598" s="218" t="s">
        <v>564</v>
      </c>
      <c r="C598" s="218" t="s">
        <v>145</v>
      </c>
      <c r="D598" s="218" t="s">
        <v>120</v>
      </c>
      <c r="E598" s="218" t="s">
        <v>91</v>
      </c>
      <c r="F598" s="217" t="s">
        <v>237</v>
      </c>
      <c r="G598" s="344">
        <f>G597</f>
        <v>0</v>
      </c>
      <c r="H598" s="344">
        <f>H597</f>
        <v>0</v>
      </c>
      <c r="I598" s="102" t="e">
        <f t="shared" si="50"/>
        <v>#DIV/0!</v>
      </c>
      <c r="J598" s="125"/>
      <c r="K598" s="125"/>
      <c r="L598" s="125"/>
      <c r="M598" s="125"/>
      <c r="N598" s="125"/>
    </row>
    <row r="599" spans="1:14" s="131" customFormat="1" ht="15.75" x14ac:dyDescent="0.25">
      <c r="A599" s="40" t="s">
        <v>158</v>
      </c>
      <c r="B599" s="218" t="s">
        <v>562</v>
      </c>
      <c r="C599" s="218" t="s">
        <v>159</v>
      </c>
      <c r="D599" s="218"/>
      <c r="E599" s="218"/>
      <c r="F599" s="217"/>
      <c r="G599" s="344">
        <f>G600</f>
        <v>3005.7371199999998</v>
      </c>
      <c r="H599" s="344">
        <f>H600</f>
        <v>3005.7371199999998</v>
      </c>
      <c r="I599" s="102">
        <f t="shared" si="50"/>
        <v>100</v>
      </c>
      <c r="J599" s="125"/>
      <c r="K599" s="125"/>
      <c r="L599" s="125"/>
      <c r="M599" s="125"/>
      <c r="N599" s="125"/>
    </row>
    <row r="600" spans="1:14" s="131" customFormat="1" ht="15.75" x14ac:dyDescent="0.25">
      <c r="A600" s="40" t="s">
        <v>160</v>
      </c>
      <c r="B600" s="218" t="s">
        <v>562</v>
      </c>
      <c r="C600" s="218" t="s">
        <v>159</v>
      </c>
      <c r="D600" s="218" t="s">
        <v>81</v>
      </c>
      <c r="E600" s="218"/>
      <c r="F600" s="217"/>
      <c r="G600" s="344">
        <f>G608+G612+G616+G601</f>
        <v>3005.7371199999998</v>
      </c>
      <c r="H600" s="344">
        <f>H608+H612+H616+H601</f>
        <v>3005.7371199999998</v>
      </c>
      <c r="I600" s="102">
        <f t="shared" si="50"/>
        <v>100</v>
      </c>
      <c r="J600" s="125"/>
      <c r="K600" s="125"/>
      <c r="L600" s="125"/>
      <c r="M600" s="125"/>
      <c r="N600" s="125"/>
    </row>
    <row r="601" spans="1:14" s="131" customFormat="1" ht="31.5" hidden="1" x14ac:dyDescent="0.25">
      <c r="A601" s="20" t="s">
        <v>290</v>
      </c>
      <c r="B601" s="218" t="s">
        <v>564</v>
      </c>
      <c r="C601" s="218" t="s">
        <v>159</v>
      </c>
      <c r="D601" s="218" t="s">
        <v>81</v>
      </c>
      <c r="E601" s="218"/>
      <c r="F601" s="217"/>
      <c r="G601" s="344">
        <f>G602+G605</f>
        <v>0</v>
      </c>
      <c r="H601" s="344">
        <f>H602+H605</f>
        <v>0</v>
      </c>
      <c r="I601" s="102" t="e">
        <f t="shared" si="50"/>
        <v>#DIV/0!</v>
      </c>
      <c r="J601" s="125"/>
      <c r="K601" s="125"/>
      <c r="L601" s="125"/>
      <c r="M601" s="125"/>
      <c r="N601" s="125"/>
    </row>
    <row r="602" spans="1:14" s="131" customFormat="1" ht="78.75" hidden="1" x14ac:dyDescent="0.25">
      <c r="A602" s="215" t="s">
        <v>84</v>
      </c>
      <c r="B602" s="218" t="s">
        <v>564</v>
      </c>
      <c r="C602" s="218" t="s">
        <v>159</v>
      </c>
      <c r="D602" s="218" t="s">
        <v>81</v>
      </c>
      <c r="E602" s="218" t="s">
        <v>85</v>
      </c>
      <c r="F602" s="217"/>
      <c r="G602" s="344">
        <f>G603</f>
        <v>0</v>
      </c>
      <c r="H602" s="344">
        <f>H603</f>
        <v>0</v>
      </c>
      <c r="I602" s="102" t="e">
        <f t="shared" si="50"/>
        <v>#DIV/0!</v>
      </c>
      <c r="J602" s="125"/>
      <c r="K602" s="125"/>
      <c r="L602" s="125"/>
      <c r="M602" s="125"/>
      <c r="N602" s="125"/>
    </row>
    <row r="603" spans="1:14" s="131" customFormat="1" ht="31.5" hidden="1" x14ac:dyDescent="0.25">
      <c r="A603" s="215" t="s">
        <v>116</v>
      </c>
      <c r="B603" s="218" t="s">
        <v>564</v>
      </c>
      <c r="C603" s="218" t="s">
        <v>159</v>
      </c>
      <c r="D603" s="218" t="s">
        <v>81</v>
      </c>
      <c r="E603" s="218" t="s">
        <v>117</v>
      </c>
      <c r="F603" s="217"/>
      <c r="G603" s="344">
        <f>'Пр.4 Ведом23'!G456</f>
        <v>0</v>
      </c>
      <c r="H603" s="344">
        <f>'Пр.4 Ведом23'!H456</f>
        <v>0</v>
      </c>
      <c r="I603" s="102" t="e">
        <f t="shared" si="50"/>
        <v>#DIV/0!</v>
      </c>
      <c r="J603" s="125"/>
      <c r="K603" s="125"/>
      <c r="L603" s="125"/>
      <c r="M603" s="125"/>
      <c r="N603" s="125"/>
    </row>
    <row r="604" spans="1:14" s="131" customFormat="1" ht="47.25" hidden="1" x14ac:dyDescent="0.25">
      <c r="A604" s="215" t="s">
        <v>876</v>
      </c>
      <c r="B604" s="218" t="s">
        <v>564</v>
      </c>
      <c r="C604" s="218" t="s">
        <v>159</v>
      </c>
      <c r="D604" s="218" t="s">
        <v>81</v>
      </c>
      <c r="E604" s="218" t="s">
        <v>117</v>
      </c>
      <c r="F604" s="217" t="s">
        <v>237</v>
      </c>
      <c r="G604" s="344">
        <f>G603</f>
        <v>0</v>
      </c>
      <c r="H604" s="344">
        <f>H603</f>
        <v>0</v>
      </c>
      <c r="I604" s="102" t="e">
        <f t="shared" si="50"/>
        <v>#DIV/0!</v>
      </c>
      <c r="J604" s="125"/>
      <c r="K604" s="125"/>
      <c r="L604" s="125"/>
      <c r="M604" s="125"/>
      <c r="N604" s="125"/>
    </row>
    <row r="605" spans="1:14" s="131" customFormat="1" ht="31.5" hidden="1" x14ac:dyDescent="0.25">
      <c r="A605" s="215" t="s">
        <v>88</v>
      </c>
      <c r="B605" s="218" t="s">
        <v>564</v>
      </c>
      <c r="C605" s="218" t="s">
        <v>159</v>
      </c>
      <c r="D605" s="218" t="s">
        <v>81</v>
      </c>
      <c r="E605" s="218" t="s">
        <v>89</v>
      </c>
      <c r="F605" s="217"/>
      <c r="G605" s="344">
        <f>G606</f>
        <v>0</v>
      </c>
      <c r="H605" s="344">
        <f>H606</f>
        <v>0</v>
      </c>
      <c r="I605" s="102" t="e">
        <f t="shared" si="50"/>
        <v>#DIV/0!</v>
      </c>
      <c r="J605" s="125"/>
      <c r="K605" s="125"/>
      <c r="L605" s="125"/>
      <c r="M605" s="125"/>
      <c r="N605" s="125"/>
    </row>
    <row r="606" spans="1:14" s="131" customFormat="1" ht="47.25" hidden="1" x14ac:dyDescent="0.25">
      <c r="A606" s="215" t="s">
        <v>90</v>
      </c>
      <c r="B606" s="218" t="s">
        <v>564</v>
      </c>
      <c r="C606" s="218" t="s">
        <v>159</v>
      </c>
      <c r="D606" s="218" t="s">
        <v>81</v>
      </c>
      <c r="E606" s="218" t="s">
        <v>91</v>
      </c>
      <c r="F606" s="217"/>
      <c r="G606" s="344">
        <f>'Пр.4 Ведом23'!G458</f>
        <v>0</v>
      </c>
      <c r="H606" s="344">
        <f>'Пр.4 Ведом23'!H458</f>
        <v>0</v>
      </c>
      <c r="I606" s="102" t="e">
        <f t="shared" si="50"/>
        <v>#DIV/0!</v>
      </c>
      <c r="J606" s="125"/>
      <c r="K606" s="125"/>
      <c r="L606" s="125"/>
      <c r="M606" s="125"/>
      <c r="N606" s="125"/>
    </row>
    <row r="607" spans="1:14" s="131" customFormat="1" ht="47.25" hidden="1" x14ac:dyDescent="0.25">
      <c r="A607" s="215" t="s">
        <v>876</v>
      </c>
      <c r="B607" s="218" t="s">
        <v>564</v>
      </c>
      <c r="C607" s="218" t="s">
        <v>159</v>
      </c>
      <c r="D607" s="218" t="s">
        <v>81</v>
      </c>
      <c r="E607" s="218" t="s">
        <v>91</v>
      </c>
      <c r="F607" s="217" t="s">
        <v>237</v>
      </c>
      <c r="G607" s="344">
        <f>G606</f>
        <v>0</v>
      </c>
      <c r="H607" s="344">
        <f>H606</f>
        <v>0</v>
      </c>
      <c r="I607" s="102" t="e">
        <f t="shared" si="50"/>
        <v>#DIV/0!</v>
      </c>
      <c r="J607" s="125"/>
      <c r="K607" s="125"/>
      <c r="L607" s="125"/>
      <c r="M607" s="125"/>
      <c r="N607" s="125"/>
    </row>
    <row r="608" spans="1:14" s="131" customFormat="1" ht="31.5" x14ac:dyDescent="0.25">
      <c r="A608" s="215" t="s">
        <v>779</v>
      </c>
      <c r="B608" s="218" t="s">
        <v>780</v>
      </c>
      <c r="C608" s="218" t="s">
        <v>159</v>
      </c>
      <c r="D608" s="218" t="s">
        <v>81</v>
      </c>
      <c r="E608" s="218"/>
      <c r="F608" s="217"/>
      <c r="G608" s="344">
        <f>G609</f>
        <v>1369.8105</v>
      </c>
      <c r="H608" s="344">
        <f>H609</f>
        <v>1369.8105</v>
      </c>
      <c r="I608" s="102">
        <f t="shared" si="50"/>
        <v>100</v>
      </c>
      <c r="J608" s="125"/>
      <c r="K608" s="125"/>
      <c r="L608" s="125"/>
      <c r="M608" s="125"/>
      <c r="N608" s="125"/>
    </row>
    <row r="609" spans="1:14" s="131" customFormat="1" ht="47.25" x14ac:dyDescent="0.25">
      <c r="A609" s="215" t="s">
        <v>149</v>
      </c>
      <c r="B609" s="218" t="s">
        <v>780</v>
      </c>
      <c r="C609" s="218" t="s">
        <v>159</v>
      </c>
      <c r="D609" s="218" t="s">
        <v>81</v>
      </c>
      <c r="E609" s="218" t="s">
        <v>150</v>
      </c>
      <c r="F609" s="217"/>
      <c r="G609" s="344">
        <f>G610</f>
        <v>1369.8105</v>
      </c>
      <c r="H609" s="344">
        <f>H610</f>
        <v>1369.8105</v>
      </c>
      <c r="I609" s="102">
        <f t="shared" si="50"/>
        <v>100</v>
      </c>
      <c r="J609" s="125"/>
      <c r="K609" s="125"/>
      <c r="L609" s="125"/>
      <c r="M609" s="125"/>
      <c r="N609" s="125"/>
    </row>
    <row r="610" spans="1:14" s="131" customFormat="1" ht="15.75" x14ac:dyDescent="0.25">
      <c r="A610" s="215" t="s">
        <v>151</v>
      </c>
      <c r="B610" s="218" t="s">
        <v>780</v>
      </c>
      <c r="C610" s="218" t="s">
        <v>159</v>
      </c>
      <c r="D610" s="218" t="s">
        <v>81</v>
      </c>
      <c r="E610" s="218" t="s">
        <v>152</v>
      </c>
      <c r="F610" s="217"/>
      <c r="G610" s="344">
        <f>'Пр.4 Ведом23'!G461</f>
        <v>1369.8105</v>
      </c>
      <c r="H610" s="344">
        <f>'Пр.4 Ведом23'!H461</f>
        <v>1369.8105</v>
      </c>
      <c r="I610" s="102">
        <f t="shared" si="50"/>
        <v>100</v>
      </c>
      <c r="J610" s="125"/>
      <c r="K610" s="125"/>
      <c r="L610" s="125"/>
      <c r="M610" s="125"/>
      <c r="N610" s="125"/>
    </row>
    <row r="611" spans="1:14" s="131" customFormat="1" ht="47.25" x14ac:dyDescent="0.25">
      <c r="A611" s="215" t="s">
        <v>876</v>
      </c>
      <c r="B611" s="218" t="s">
        <v>780</v>
      </c>
      <c r="C611" s="218" t="s">
        <v>159</v>
      </c>
      <c r="D611" s="218" t="s">
        <v>81</v>
      </c>
      <c r="E611" s="218" t="s">
        <v>152</v>
      </c>
      <c r="F611" s="217" t="s">
        <v>237</v>
      </c>
      <c r="G611" s="344">
        <f>G610</f>
        <v>1369.8105</v>
      </c>
      <c r="H611" s="344">
        <f>H610</f>
        <v>1369.8105</v>
      </c>
      <c r="I611" s="102">
        <f t="shared" si="50"/>
        <v>100</v>
      </c>
      <c r="J611" s="125"/>
      <c r="K611" s="125"/>
      <c r="L611" s="125"/>
      <c r="M611" s="125"/>
      <c r="N611" s="125"/>
    </row>
    <row r="612" spans="1:14" s="131" customFormat="1" ht="31.5" hidden="1" x14ac:dyDescent="0.25">
      <c r="A612" s="215" t="s">
        <v>153</v>
      </c>
      <c r="B612" s="218" t="s">
        <v>823</v>
      </c>
      <c r="C612" s="218" t="s">
        <v>159</v>
      </c>
      <c r="D612" s="218" t="s">
        <v>81</v>
      </c>
      <c r="E612" s="218"/>
      <c r="F612" s="217"/>
      <c r="G612" s="344">
        <f>G613</f>
        <v>0</v>
      </c>
      <c r="H612" s="344">
        <f>H613</f>
        <v>0</v>
      </c>
      <c r="I612" s="102" t="e">
        <f t="shared" si="50"/>
        <v>#DIV/0!</v>
      </c>
      <c r="J612" s="125"/>
      <c r="K612" s="125"/>
      <c r="L612" s="125"/>
      <c r="M612" s="125"/>
      <c r="N612" s="125"/>
    </row>
    <row r="613" spans="1:14" s="131" customFormat="1" ht="47.25" hidden="1" x14ac:dyDescent="0.25">
      <c r="A613" s="215" t="s">
        <v>149</v>
      </c>
      <c r="B613" s="218" t="s">
        <v>823</v>
      </c>
      <c r="C613" s="218" t="s">
        <v>159</v>
      </c>
      <c r="D613" s="218" t="s">
        <v>81</v>
      </c>
      <c r="E613" s="218" t="s">
        <v>150</v>
      </c>
      <c r="F613" s="217"/>
      <c r="G613" s="344">
        <f>G614</f>
        <v>0</v>
      </c>
      <c r="H613" s="344">
        <f>H614</f>
        <v>0</v>
      </c>
      <c r="I613" s="102" t="e">
        <f t="shared" si="50"/>
        <v>#DIV/0!</v>
      </c>
      <c r="J613" s="125"/>
      <c r="K613" s="125"/>
      <c r="L613" s="125"/>
      <c r="M613" s="125"/>
      <c r="N613" s="125"/>
    </row>
    <row r="614" spans="1:14" s="131" customFormat="1" ht="15.75" hidden="1" x14ac:dyDescent="0.25">
      <c r="A614" s="215" t="s">
        <v>151</v>
      </c>
      <c r="B614" s="218" t="s">
        <v>823</v>
      </c>
      <c r="C614" s="218" t="s">
        <v>159</v>
      </c>
      <c r="D614" s="218" t="s">
        <v>81</v>
      </c>
      <c r="E614" s="218" t="s">
        <v>152</v>
      </c>
      <c r="F614" s="217"/>
      <c r="G614" s="344">
        <f>'Пр.4 Ведом23'!G463</f>
        <v>0</v>
      </c>
      <c r="H614" s="344">
        <f>'Пр.4 Ведом23'!H463</f>
        <v>0</v>
      </c>
      <c r="I614" s="102" t="e">
        <f t="shared" si="50"/>
        <v>#DIV/0!</v>
      </c>
      <c r="J614" s="125"/>
      <c r="K614" s="125"/>
      <c r="L614" s="125"/>
      <c r="M614" s="125"/>
      <c r="N614" s="125"/>
    </row>
    <row r="615" spans="1:14" s="131" customFormat="1" ht="47.25" hidden="1" x14ac:dyDescent="0.25">
      <c r="A615" s="215" t="s">
        <v>876</v>
      </c>
      <c r="B615" s="218" t="s">
        <v>823</v>
      </c>
      <c r="C615" s="218" t="s">
        <v>159</v>
      </c>
      <c r="D615" s="218" t="s">
        <v>81</v>
      </c>
      <c r="E615" s="218" t="s">
        <v>152</v>
      </c>
      <c r="F615" s="217" t="s">
        <v>237</v>
      </c>
      <c r="G615" s="344">
        <f>G614</f>
        <v>0</v>
      </c>
      <c r="H615" s="344">
        <f>H614</f>
        <v>0</v>
      </c>
      <c r="I615" s="102" t="e">
        <f t="shared" si="50"/>
        <v>#DIV/0!</v>
      </c>
      <c r="J615" s="125"/>
      <c r="K615" s="125"/>
      <c r="L615" s="125"/>
      <c r="M615" s="125"/>
      <c r="N615" s="125"/>
    </row>
    <row r="616" spans="1:14" s="131" customFormat="1" ht="31.5" x14ac:dyDescent="0.25">
      <c r="A616" s="215" t="s">
        <v>855</v>
      </c>
      <c r="B616" s="218" t="s">
        <v>824</v>
      </c>
      <c r="C616" s="218" t="s">
        <v>159</v>
      </c>
      <c r="D616" s="218" t="s">
        <v>81</v>
      </c>
      <c r="E616" s="218"/>
      <c r="F616" s="217"/>
      <c r="G616" s="344">
        <f>G617</f>
        <v>1635.92662</v>
      </c>
      <c r="H616" s="344">
        <f>H617</f>
        <v>1635.92662</v>
      </c>
      <c r="I616" s="102">
        <f t="shared" si="50"/>
        <v>100</v>
      </c>
      <c r="J616" s="125"/>
      <c r="K616" s="125"/>
      <c r="L616" s="125"/>
      <c r="M616" s="125"/>
      <c r="N616" s="125"/>
    </row>
    <row r="617" spans="1:14" s="131" customFormat="1" ht="47.25" x14ac:dyDescent="0.25">
      <c r="A617" s="215" t="s">
        <v>149</v>
      </c>
      <c r="B617" s="218" t="s">
        <v>824</v>
      </c>
      <c r="C617" s="218" t="s">
        <v>159</v>
      </c>
      <c r="D617" s="218" t="s">
        <v>81</v>
      </c>
      <c r="E617" s="218" t="s">
        <v>150</v>
      </c>
      <c r="F617" s="217"/>
      <c r="G617" s="344">
        <f>G618</f>
        <v>1635.92662</v>
      </c>
      <c r="H617" s="344">
        <f>H618</f>
        <v>1635.92662</v>
      </c>
      <c r="I617" s="102">
        <f t="shared" si="50"/>
        <v>100</v>
      </c>
      <c r="J617" s="125"/>
      <c r="K617" s="125"/>
      <c r="L617" s="125"/>
      <c r="M617" s="125"/>
      <c r="N617" s="125"/>
    </row>
    <row r="618" spans="1:14" s="131" customFormat="1" ht="15.75" x14ac:dyDescent="0.25">
      <c r="A618" s="215" t="s">
        <v>151</v>
      </c>
      <c r="B618" s="218" t="s">
        <v>824</v>
      </c>
      <c r="C618" s="218" t="s">
        <v>159</v>
      </c>
      <c r="D618" s="218" t="s">
        <v>81</v>
      </c>
      <c r="E618" s="218" t="s">
        <v>152</v>
      </c>
      <c r="F618" s="217"/>
      <c r="G618" s="344">
        <f>'Пр.4 Ведом23'!G467</f>
        <v>1635.92662</v>
      </c>
      <c r="H618" s="344">
        <f>'Пр.4 Ведом23'!H467</f>
        <v>1635.92662</v>
      </c>
      <c r="I618" s="102">
        <f t="shared" si="50"/>
        <v>100</v>
      </c>
      <c r="J618" s="125"/>
      <c r="K618" s="125"/>
      <c r="L618" s="125"/>
      <c r="M618" s="125"/>
      <c r="N618" s="125"/>
    </row>
    <row r="619" spans="1:14" s="131" customFormat="1" ht="47.25" x14ac:dyDescent="0.25">
      <c r="A619" s="215" t="s">
        <v>876</v>
      </c>
      <c r="B619" s="218" t="s">
        <v>824</v>
      </c>
      <c r="C619" s="218" t="s">
        <v>159</v>
      </c>
      <c r="D619" s="218" t="s">
        <v>81</v>
      </c>
      <c r="E619" s="218" t="s">
        <v>152</v>
      </c>
      <c r="F619" s="217" t="s">
        <v>237</v>
      </c>
      <c r="G619" s="344">
        <f>G618</f>
        <v>1635.92662</v>
      </c>
      <c r="H619" s="344">
        <f>H618</f>
        <v>1635.92662</v>
      </c>
      <c r="I619" s="102">
        <f t="shared" si="50"/>
        <v>100</v>
      </c>
      <c r="J619" s="125"/>
      <c r="K619" s="125"/>
      <c r="L619" s="125"/>
      <c r="M619" s="125"/>
      <c r="N619" s="125"/>
    </row>
    <row r="620" spans="1:14" s="75" customFormat="1" ht="33.75" customHeight="1" x14ac:dyDescent="0.25">
      <c r="A620" s="116" t="s">
        <v>380</v>
      </c>
      <c r="B620" s="117" t="s">
        <v>565</v>
      </c>
      <c r="C620" s="117"/>
      <c r="D620" s="217"/>
      <c r="E620" s="117"/>
      <c r="F620" s="217"/>
      <c r="G620" s="302">
        <f>G627+G621+G641</f>
        <v>2493.4780099999998</v>
      </c>
      <c r="H620" s="567">
        <f>H627+H621+H641</f>
        <v>2493.4780099999998</v>
      </c>
      <c r="I620" s="221">
        <f t="shared" si="50"/>
        <v>100</v>
      </c>
      <c r="J620" s="125"/>
      <c r="K620" s="125"/>
      <c r="L620" s="125"/>
      <c r="M620" s="125"/>
      <c r="N620" s="125"/>
    </row>
    <row r="621" spans="1:14" s="131" customFormat="1" ht="15.75" x14ac:dyDescent="0.25">
      <c r="A621" s="215" t="s">
        <v>144</v>
      </c>
      <c r="B621" s="218" t="s">
        <v>565</v>
      </c>
      <c r="C621" s="218" t="s">
        <v>145</v>
      </c>
      <c r="D621" s="218"/>
      <c r="E621" s="117"/>
      <c r="F621" s="217"/>
      <c r="G621" s="344">
        <f t="shared" ref="G621:H624" si="51">G622</f>
        <v>465.06704999999999</v>
      </c>
      <c r="H621" s="344">
        <f t="shared" si="51"/>
        <v>465.06704999999999</v>
      </c>
      <c r="I621" s="102">
        <f t="shared" si="50"/>
        <v>100</v>
      </c>
      <c r="J621" s="125"/>
      <c r="K621" s="125"/>
      <c r="L621" s="125"/>
      <c r="M621" s="125"/>
      <c r="N621" s="125"/>
    </row>
    <row r="622" spans="1:14" s="131" customFormat="1" ht="15.75" x14ac:dyDescent="0.25">
      <c r="A622" s="215" t="s">
        <v>146</v>
      </c>
      <c r="B622" s="218" t="s">
        <v>565</v>
      </c>
      <c r="C622" s="218" t="s">
        <v>145</v>
      </c>
      <c r="D622" s="218" t="s">
        <v>120</v>
      </c>
      <c r="E622" s="117"/>
      <c r="F622" s="217"/>
      <c r="G622" s="344">
        <f t="shared" si="51"/>
        <v>465.06704999999999</v>
      </c>
      <c r="H622" s="344">
        <f t="shared" si="51"/>
        <v>465.06704999999999</v>
      </c>
      <c r="I622" s="102">
        <f t="shared" si="50"/>
        <v>100</v>
      </c>
      <c r="J622" s="125"/>
      <c r="K622" s="125"/>
      <c r="L622" s="125"/>
      <c r="M622" s="125"/>
      <c r="N622" s="125"/>
    </row>
    <row r="623" spans="1:14" s="131" customFormat="1" ht="47.25" x14ac:dyDescent="0.25">
      <c r="A623" s="215" t="s">
        <v>304</v>
      </c>
      <c r="B623" s="218" t="s">
        <v>566</v>
      </c>
      <c r="C623" s="218" t="s">
        <v>145</v>
      </c>
      <c r="D623" s="218" t="s">
        <v>120</v>
      </c>
      <c r="E623" s="218"/>
      <c r="F623" s="217"/>
      <c r="G623" s="344">
        <f t="shared" si="51"/>
        <v>465.06704999999999</v>
      </c>
      <c r="H623" s="344">
        <f t="shared" si="51"/>
        <v>465.06704999999999</v>
      </c>
      <c r="I623" s="102">
        <f t="shared" si="50"/>
        <v>100</v>
      </c>
      <c r="J623" s="125"/>
      <c r="K623" s="125"/>
      <c r="L623" s="125"/>
      <c r="M623" s="125"/>
      <c r="N623" s="125"/>
    </row>
    <row r="624" spans="1:14" s="131" customFormat="1" ht="78.75" x14ac:dyDescent="0.25">
      <c r="A624" s="215" t="s">
        <v>84</v>
      </c>
      <c r="B624" s="218" t="s">
        <v>566</v>
      </c>
      <c r="C624" s="218" t="s">
        <v>145</v>
      </c>
      <c r="D624" s="218" t="s">
        <v>120</v>
      </c>
      <c r="E624" s="218" t="s">
        <v>85</v>
      </c>
      <c r="F624" s="217"/>
      <c r="G624" s="344">
        <f t="shared" si="51"/>
        <v>465.06704999999999</v>
      </c>
      <c r="H624" s="344">
        <f t="shared" si="51"/>
        <v>465.06704999999999</v>
      </c>
      <c r="I624" s="102">
        <f t="shared" si="50"/>
        <v>100</v>
      </c>
      <c r="J624" s="125"/>
      <c r="K624" s="125"/>
      <c r="L624" s="125"/>
      <c r="M624" s="125"/>
      <c r="N624" s="125"/>
    </row>
    <row r="625" spans="1:14" s="131" customFormat="1" ht="31.5" x14ac:dyDescent="0.25">
      <c r="A625" s="215" t="s">
        <v>168</v>
      </c>
      <c r="B625" s="218" t="s">
        <v>566</v>
      </c>
      <c r="C625" s="218" t="s">
        <v>145</v>
      </c>
      <c r="D625" s="218" t="s">
        <v>120</v>
      </c>
      <c r="E625" s="218" t="s">
        <v>117</v>
      </c>
      <c r="F625" s="217"/>
      <c r="G625" s="344">
        <f>'Пр.4 Ведом23'!G393</f>
        <v>465.06704999999999</v>
      </c>
      <c r="H625" s="344">
        <f>'Пр.4 Ведом23'!H393</f>
        <v>465.06704999999999</v>
      </c>
      <c r="I625" s="102">
        <f t="shared" si="50"/>
        <v>100</v>
      </c>
      <c r="J625" s="125"/>
      <c r="K625" s="125"/>
      <c r="L625" s="125"/>
      <c r="M625" s="125"/>
      <c r="N625" s="125"/>
    </row>
    <row r="626" spans="1:14" s="131" customFormat="1" ht="47.25" x14ac:dyDescent="0.25">
      <c r="A626" s="215" t="s">
        <v>876</v>
      </c>
      <c r="B626" s="218" t="s">
        <v>566</v>
      </c>
      <c r="C626" s="218" t="s">
        <v>145</v>
      </c>
      <c r="D626" s="218" t="s">
        <v>120</v>
      </c>
      <c r="E626" s="218" t="s">
        <v>117</v>
      </c>
      <c r="F626" s="217" t="s">
        <v>237</v>
      </c>
      <c r="G626" s="344">
        <f>G625</f>
        <v>465.06704999999999</v>
      </c>
      <c r="H626" s="344">
        <f>H625</f>
        <v>465.06704999999999</v>
      </c>
      <c r="I626" s="102">
        <f t="shared" si="50"/>
        <v>100</v>
      </c>
      <c r="J626" s="125"/>
      <c r="K626" s="125"/>
      <c r="L626" s="125"/>
      <c r="M626" s="125"/>
      <c r="N626" s="125"/>
    </row>
    <row r="627" spans="1:14" s="131" customFormat="1" ht="15.75" x14ac:dyDescent="0.25">
      <c r="A627" s="40" t="s">
        <v>158</v>
      </c>
      <c r="B627" s="218" t="s">
        <v>565</v>
      </c>
      <c r="C627" s="218" t="s">
        <v>159</v>
      </c>
      <c r="D627" s="218"/>
      <c r="E627" s="117"/>
      <c r="F627" s="217"/>
      <c r="G627" s="344">
        <f>G628</f>
        <v>1653.3759599999998</v>
      </c>
      <c r="H627" s="344">
        <f>H628</f>
        <v>1653.3759600000001</v>
      </c>
      <c r="I627" s="102">
        <f t="shared" si="50"/>
        <v>100.00000000000003</v>
      </c>
      <c r="J627" s="125"/>
      <c r="K627" s="125"/>
      <c r="L627" s="125"/>
      <c r="M627" s="125"/>
      <c r="N627" s="125"/>
    </row>
    <row r="628" spans="1:14" s="131" customFormat="1" ht="15.75" x14ac:dyDescent="0.25">
      <c r="A628" s="40" t="s">
        <v>160</v>
      </c>
      <c r="B628" s="218" t="s">
        <v>565</v>
      </c>
      <c r="C628" s="218" t="s">
        <v>159</v>
      </c>
      <c r="D628" s="218" t="s">
        <v>81</v>
      </c>
      <c r="E628" s="117"/>
      <c r="F628" s="217"/>
      <c r="G628" s="344">
        <f>G629+G633+G637</f>
        <v>1653.3759599999998</v>
      </c>
      <c r="H628" s="344">
        <f>H629+H633+H637</f>
        <v>1653.3759600000001</v>
      </c>
      <c r="I628" s="102">
        <f t="shared" si="50"/>
        <v>100.00000000000003</v>
      </c>
      <c r="J628" s="125"/>
      <c r="K628" s="125"/>
      <c r="L628" s="125"/>
      <c r="M628" s="125"/>
      <c r="N628" s="125"/>
    </row>
    <row r="629" spans="1:14" s="75" customFormat="1" ht="50.25" customHeight="1" x14ac:dyDescent="0.25">
      <c r="A629" s="215" t="s">
        <v>304</v>
      </c>
      <c r="B629" s="218" t="s">
        <v>566</v>
      </c>
      <c r="C629" s="218" t="s">
        <v>159</v>
      </c>
      <c r="D629" s="218" t="s">
        <v>81</v>
      </c>
      <c r="E629" s="218"/>
      <c r="F629" s="217"/>
      <c r="G629" s="344">
        <f>G630</f>
        <v>567.62800000000004</v>
      </c>
      <c r="H629" s="344">
        <f>H630</f>
        <v>567.62800000000004</v>
      </c>
      <c r="I629" s="102">
        <f t="shared" si="50"/>
        <v>100</v>
      </c>
      <c r="J629" s="125"/>
      <c r="K629" s="125"/>
      <c r="L629" s="125"/>
      <c r="M629" s="125"/>
      <c r="N629" s="125"/>
    </row>
    <row r="630" spans="1:14" s="75" customFormat="1" ht="31.7" customHeight="1" x14ac:dyDescent="0.25">
      <c r="A630" s="215" t="s">
        <v>84</v>
      </c>
      <c r="B630" s="218" t="s">
        <v>566</v>
      </c>
      <c r="C630" s="218" t="s">
        <v>159</v>
      </c>
      <c r="D630" s="218" t="s">
        <v>81</v>
      </c>
      <c r="E630" s="218" t="s">
        <v>85</v>
      </c>
      <c r="F630" s="217"/>
      <c r="G630" s="344">
        <f>G631</f>
        <v>567.62800000000004</v>
      </c>
      <c r="H630" s="344">
        <f>H631</f>
        <v>567.62800000000004</v>
      </c>
      <c r="I630" s="102">
        <f t="shared" si="50"/>
        <v>100</v>
      </c>
      <c r="J630" s="125"/>
      <c r="K630" s="125"/>
      <c r="L630" s="125"/>
      <c r="M630" s="125"/>
      <c r="N630" s="125"/>
    </row>
    <row r="631" spans="1:14" s="75" customFormat="1" ht="31.7" customHeight="1" x14ac:dyDescent="0.25">
      <c r="A631" s="215" t="s">
        <v>168</v>
      </c>
      <c r="B631" s="218" t="s">
        <v>566</v>
      </c>
      <c r="C631" s="218" t="s">
        <v>159</v>
      </c>
      <c r="D631" s="218" t="s">
        <v>81</v>
      </c>
      <c r="E631" s="218" t="s">
        <v>117</v>
      </c>
      <c r="F631" s="217"/>
      <c r="G631" s="344">
        <f>'Пр.4 Ведом23'!G471</f>
        <v>567.62800000000004</v>
      </c>
      <c r="H631" s="344">
        <f>'Пр.4 Ведом23'!H471</f>
        <v>567.62800000000004</v>
      </c>
      <c r="I631" s="102">
        <f t="shared" si="50"/>
        <v>100</v>
      </c>
      <c r="J631" s="125"/>
      <c r="K631" s="125"/>
      <c r="L631" s="125"/>
      <c r="M631" s="125"/>
      <c r="N631" s="125"/>
    </row>
    <row r="632" spans="1:14" s="214" customFormat="1" ht="50.45" customHeight="1" x14ac:dyDescent="0.25">
      <c r="A632" s="215" t="s">
        <v>876</v>
      </c>
      <c r="B632" s="218" t="s">
        <v>566</v>
      </c>
      <c r="C632" s="218" t="s">
        <v>159</v>
      </c>
      <c r="D632" s="218" t="s">
        <v>81</v>
      </c>
      <c r="E632" s="218" t="s">
        <v>117</v>
      </c>
      <c r="F632" s="217" t="s">
        <v>237</v>
      </c>
      <c r="G632" s="344">
        <f>G631</f>
        <v>567.62800000000004</v>
      </c>
      <c r="H632" s="344">
        <f>H631</f>
        <v>567.62800000000004</v>
      </c>
      <c r="I632" s="102">
        <f t="shared" si="50"/>
        <v>100</v>
      </c>
      <c r="J632" s="231"/>
      <c r="K632" s="231"/>
      <c r="L632" s="231"/>
      <c r="M632" s="231"/>
      <c r="N632" s="231"/>
    </row>
    <row r="633" spans="1:14" s="131" customFormat="1" ht="31.5" x14ac:dyDescent="0.25">
      <c r="A633" s="215" t="s">
        <v>261</v>
      </c>
      <c r="B633" s="218" t="s">
        <v>781</v>
      </c>
      <c r="C633" s="218" t="s">
        <v>159</v>
      </c>
      <c r="D633" s="218" t="s">
        <v>81</v>
      </c>
      <c r="E633" s="218"/>
      <c r="F633" s="217"/>
      <c r="G633" s="344">
        <f>G634</f>
        <v>318.71623999999997</v>
      </c>
      <c r="H633" s="344">
        <f>H634</f>
        <v>318.71624000000003</v>
      </c>
      <c r="I633" s="102">
        <f t="shared" si="50"/>
        <v>100.00000000000003</v>
      </c>
      <c r="J633" s="125"/>
      <c r="K633" s="125"/>
      <c r="L633" s="125"/>
      <c r="M633" s="125"/>
      <c r="N633" s="125"/>
    </row>
    <row r="634" spans="1:14" s="131" customFormat="1" ht="47.25" x14ac:dyDescent="0.25">
      <c r="A634" s="215" t="s">
        <v>149</v>
      </c>
      <c r="B634" s="218" t="s">
        <v>781</v>
      </c>
      <c r="C634" s="218" t="s">
        <v>159</v>
      </c>
      <c r="D634" s="218" t="s">
        <v>81</v>
      </c>
      <c r="E634" s="218" t="s">
        <v>150</v>
      </c>
      <c r="F634" s="217"/>
      <c r="G634" s="344">
        <f>G635</f>
        <v>318.71623999999997</v>
      </c>
      <c r="H634" s="344">
        <f>H635</f>
        <v>318.71624000000003</v>
      </c>
      <c r="I634" s="102">
        <f t="shared" si="50"/>
        <v>100.00000000000003</v>
      </c>
      <c r="J634" s="125"/>
      <c r="K634" s="125"/>
      <c r="L634" s="125"/>
      <c r="M634" s="125"/>
      <c r="N634" s="125"/>
    </row>
    <row r="635" spans="1:14" s="131" customFormat="1" ht="15.75" x14ac:dyDescent="0.25">
      <c r="A635" s="215" t="s">
        <v>151</v>
      </c>
      <c r="B635" s="218" t="s">
        <v>781</v>
      </c>
      <c r="C635" s="218" t="s">
        <v>159</v>
      </c>
      <c r="D635" s="218" t="s">
        <v>81</v>
      </c>
      <c r="E635" s="218" t="s">
        <v>152</v>
      </c>
      <c r="F635" s="217"/>
      <c r="G635" s="344">
        <f>'Пр.4 Ведом23'!G474</f>
        <v>318.71623999999997</v>
      </c>
      <c r="H635" s="344">
        <f>'Пр.4 Ведом23'!H474</f>
        <v>318.71624000000003</v>
      </c>
      <c r="I635" s="102">
        <f t="shared" si="50"/>
        <v>100.00000000000003</v>
      </c>
      <c r="J635" s="125"/>
      <c r="K635" s="125"/>
      <c r="L635" s="125"/>
      <c r="M635" s="125"/>
      <c r="N635" s="125"/>
    </row>
    <row r="636" spans="1:14" s="131" customFormat="1" ht="47.25" x14ac:dyDescent="0.25">
      <c r="A636" s="215" t="s">
        <v>876</v>
      </c>
      <c r="B636" s="218" t="s">
        <v>781</v>
      </c>
      <c r="C636" s="218" t="s">
        <v>159</v>
      </c>
      <c r="D636" s="218" t="s">
        <v>81</v>
      </c>
      <c r="E636" s="218" t="s">
        <v>152</v>
      </c>
      <c r="F636" s="217" t="s">
        <v>237</v>
      </c>
      <c r="G636" s="344">
        <f>G635</f>
        <v>318.71623999999997</v>
      </c>
      <c r="H636" s="344">
        <f>H635</f>
        <v>318.71624000000003</v>
      </c>
      <c r="I636" s="102">
        <f t="shared" si="50"/>
        <v>100.00000000000003</v>
      </c>
      <c r="J636" s="125"/>
      <c r="K636" s="125"/>
      <c r="L636" s="125"/>
      <c r="M636" s="125"/>
      <c r="N636" s="125"/>
    </row>
    <row r="637" spans="1:14" s="131" customFormat="1" ht="31.5" x14ac:dyDescent="0.25">
      <c r="A637" s="215" t="s">
        <v>840</v>
      </c>
      <c r="B637" s="218" t="s">
        <v>839</v>
      </c>
      <c r="C637" s="218" t="s">
        <v>159</v>
      </c>
      <c r="D637" s="218" t="s">
        <v>81</v>
      </c>
      <c r="E637" s="218"/>
      <c r="F637" s="217"/>
      <c r="G637" s="344">
        <f>G638</f>
        <v>767.03171999999995</v>
      </c>
      <c r="H637" s="344">
        <f>H638</f>
        <v>767.03171999999995</v>
      </c>
      <c r="I637" s="102">
        <f t="shared" si="50"/>
        <v>100</v>
      </c>
      <c r="J637" s="125"/>
      <c r="K637" s="125"/>
      <c r="L637" s="125"/>
      <c r="M637" s="125"/>
      <c r="N637" s="125"/>
    </row>
    <row r="638" spans="1:14" s="131" customFormat="1" ht="47.25" x14ac:dyDescent="0.25">
      <c r="A638" s="215" t="s">
        <v>149</v>
      </c>
      <c r="B638" s="218" t="s">
        <v>839</v>
      </c>
      <c r="C638" s="218" t="s">
        <v>159</v>
      </c>
      <c r="D638" s="218" t="s">
        <v>81</v>
      </c>
      <c r="E638" s="218" t="s">
        <v>150</v>
      </c>
      <c r="F638" s="217"/>
      <c r="G638" s="344">
        <f>G639</f>
        <v>767.03171999999995</v>
      </c>
      <c r="H638" s="344">
        <f>H639</f>
        <v>767.03171999999995</v>
      </c>
      <c r="I638" s="102">
        <f t="shared" si="50"/>
        <v>100</v>
      </c>
      <c r="J638" s="125"/>
      <c r="K638" s="125"/>
      <c r="L638" s="125"/>
      <c r="M638" s="125"/>
      <c r="N638" s="125"/>
    </row>
    <row r="639" spans="1:14" s="131" customFormat="1" ht="15.75" x14ac:dyDescent="0.25">
      <c r="A639" s="215" t="s">
        <v>151</v>
      </c>
      <c r="B639" s="218" t="s">
        <v>839</v>
      </c>
      <c r="C639" s="218" t="s">
        <v>159</v>
      </c>
      <c r="D639" s="218" t="s">
        <v>81</v>
      </c>
      <c r="E639" s="218" t="s">
        <v>152</v>
      </c>
      <c r="F639" s="217"/>
      <c r="G639" s="344">
        <f>'Пр.4 Ведом23'!G477</f>
        <v>767.03171999999995</v>
      </c>
      <c r="H639" s="344">
        <f>'Пр.4 Ведом23'!H477</f>
        <v>767.03171999999995</v>
      </c>
      <c r="I639" s="102">
        <f t="shared" si="50"/>
        <v>100</v>
      </c>
      <c r="J639" s="125"/>
      <c r="K639" s="125"/>
      <c r="L639" s="125"/>
      <c r="M639" s="125"/>
      <c r="N639" s="125"/>
    </row>
    <row r="640" spans="1:14" s="131" customFormat="1" ht="47.25" x14ac:dyDescent="0.25">
      <c r="A640" s="215" t="s">
        <v>876</v>
      </c>
      <c r="B640" s="218" t="s">
        <v>839</v>
      </c>
      <c r="C640" s="218" t="s">
        <v>159</v>
      </c>
      <c r="D640" s="218" t="s">
        <v>81</v>
      </c>
      <c r="E640" s="218" t="s">
        <v>152</v>
      </c>
      <c r="F640" s="217" t="s">
        <v>237</v>
      </c>
      <c r="G640" s="344">
        <f>G639</f>
        <v>767.03171999999995</v>
      </c>
      <c r="H640" s="344">
        <f>H639</f>
        <v>767.03171999999995</v>
      </c>
      <c r="I640" s="102">
        <f t="shared" si="50"/>
        <v>100</v>
      </c>
      <c r="J640" s="125"/>
      <c r="K640" s="125"/>
      <c r="L640" s="125"/>
      <c r="M640" s="125"/>
      <c r="N640" s="125"/>
    </row>
    <row r="641" spans="1:14" s="131" customFormat="1" ht="15.75" x14ac:dyDescent="0.25">
      <c r="A641" s="215" t="s">
        <v>230</v>
      </c>
      <c r="B641" s="218" t="s">
        <v>565</v>
      </c>
      <c r="C641" s="218" t="s">
        <v>132</v>
      </c>
      <c r="D641" s="218"/>
      <c r="E641" s="218"/>
      <c r="F641" s="217"/>
      <c r="G641" s="344">
        <f t="shared" ref="G641:H644" si="52">G642</f>
        <v>375.03499999999997</v>
      </c>
      <c r="H641" s="344">
        <f t="shared" si="52"/>
        <v>375.03500000000003</v>
      </c>
      <c r="I641" s="102">
        <f t="shared" si="50"/>
        <v>100.00000000000003</v>
      </c>
      <c r="J641" s="125"/>
      <c r="K641" s="125"/>
      <c r="L641" s="125"/>
      <c r="M641" s="125"/>
      <c r="N641" s="125"/>
    </row>
    <row r="642" spans="1:14" s="131" customFormat="1" ht="15.75" x14ac:dyDescent="0.25">
      <c r="A642" s="215" t="s">
        <v>231</v>
      </c>
      <c r="B642" s="218" t="s">
        <v>565</v>
      </c>
      <c r="C642" s="218" t="s">
        <v>132</v>
      </c>
      <c r="D642" s="218" t="s">
        <v>119</v>
      </c>
      <c r="E642" s="218"/>
      <c r="F642" s="217"/>
      <c r="G642" s="344">
        <f t="shared" si="52"/>
        <v>375.03499999999997</v>
      </c>
      <c r="H642" s="344">
        <f t="shared" si="52"/>
        <v>375.03500000000003</v>
      </c>
      <c r="I642" s="102">
        <f t="shared" si="50"/>
        <v>100.00000000000003</v>
      </c>
      <c r="J642" s="125"/>
      <c r="K642" s="125"/>
      <c r="L642" s="125"/>
      <c r="M642" s="125"/>
      <c r="N642" s="125"/>
    </row>
    <row r="643" spans="1:14" s="131" customFormat="1" ht="47.25" x14ac:dyDescent="0.25">
      <c r="A643" s="215" t="s">
        <v>304</v>
      </c>
      <c r="B643" s="218" t="s">
        <v>566</v>
      </c>
      <c r="C643" s="218" t="s">
        <v>132</v>
      </c>
      <c r="D643" s="218" t="s">
        <v>119</v>
      </c>
      <c r="E643" s="218"/>
      <c r="F643" s="217"/>
      <c r="G643" s="344">
        <f t="shared" si="52"/>
        <v>375.03499999999997</v>
      </c>
      <c r="H643" s="344">
        <f t="shared" si="52"/>
        <v>375.03500000000003</v>
      </c>
      <c r="I643" s="102">
        <f t="shared" si="50"/>
        <v>100.00000000000003</v>
      </c>
      <c r="J643" s="125"/>
      <c r="K643" s="125"/>
      <c r="L643" s="125"/>
      <c r="M643" s="125"/>
      <c r="N643" s="125"/>
    </row>
    <row r="644" spans="1:14" s="131" customFormat="1" ht="78.75" x14ac:dyDescent="0.25">
      <c r="A644" s="215" t="s">
        <v>84</v>
      </c>
      <c r="B644" s="218" t="s">
        <v>566</v>
      </c>
      <c r="C644" s="218" t="s">
        <v>132</v>
      </c>
      <c r="D644" s="218" t="s">
        <v>119</v>
      </c>
      <c r="E644" s="218" t="s">
        <v>85</v>
      </c>
      <c r="F644" s="217"/>
      <c r="G644" s="344">
        <f t="shared" si="52"/>
        <v>375.03499999999997</v>
      </c>
      <c r="H644" s="344">
        <f t="shared" si="52"/>
        <v>375.03500000000003</v>
      </c>
      <c r="I644" s="102">
        <f t="shared" si="50"/>
        <v>100.00000000000003</v>
      </c>
      <c r="J644" s="125"/>
      <c r="K644" s="125"/>
      <c r="L644" s="125"/>
      <c r="M644" s="125"/>
      <c r="N644" s="125"/>
    </row>
    <row r="645" spans="1:14" s="131" customFormat="1" ht="31.5" x14ac:dyDescent="0.25">
      <c r="A645" s="215" t="s">
        <v>116</v>
      </c>
      <c r="B645" s="218" t="s">
        <v>566</v>
      </c>
      <c r="C645" s="218" t="s">
        <v>132</v>
      </c>
      <c r="D645" s="218" t="s">
        <v>119</v>
      </c>
      <c r="E645" s="218" t="s">
        <v>117</v>
      </c>
      <c r="F645" s="217"/>
      <c r="G645" s="344">
        <f>'Пр.4 Ведом23'!G631</f>
        <v>375.03499999999997</v>
      </c>
      <c r="H645" s="344">
        <f>'Пр.4 Ведом23'!H631</f>
        <v>375.03500000000003</v>
      </c>
      <c r="I645" s="102">
        <f t="shared" si="50"/>
        <v>100.00000000000003</v>
      </c>
      <c r="J645" s="125"/>
      <c r="K645" s="125"/>
      <c r="L645" s="125"/>
      <c r="M645" s="125"/>
      <c r="N645" s="125"/>
    </row>
    <row r="646" spans="1:14" s="264" customFormat="1" ht="47.25" x14ac:dyDescent="0.25">
      <c r="A646" s="215" t="s">
        <v>876</v>
      </c>
      <c r="B646" s="218" t="s">
        <v>566</v>
      </c>
      <c r="C646" s="218" t="s">
        <v>132</v>
      </c>
      <c r="D646" s="218" t="s">
        <v>119</v>
      </c>
      <c r="E646" s="218" t="s">
        <v>117</v>
      </c>
      <c r="F646" s="217" t="s">
        <v>237</v>
      </c>
      <c r="G646" s="344">
        <f>G645</f>
        <v>375.03499999999997</v>
      </c>
      <c r="H646" s="344">
        <f>H645</f>
        <v>375.03500000000003</v>
      </c>
      <c r="I646" s="102">
        <f t="shared" si="50"/>
        <v>100.00000000000003</v>
      </c>
      <c r="J646" s="266"/>
      <c r="K646" s="266"/>
      <c r="L646" s="266"/>
      <c r="M646" s="266"/>
      <c r="N646" s="266"/>
    </row>
    <row r="647" spans="1:14" s="75" customFormat="1" ht="47.25" x14ac:dyDescent="0.25">
      <c r="A647" s="116" t="s">
        <v>349</v>
      </c>
      <c r="B647" s="117" t="s">
        <v>567</v>
      </c>
      <c r="C647" s="117"/>
      <c r="D647" s="217"/>
      <c r="E647" s="117"/>
      <c r="F647" s="217"/>
      <c r="G647" s="302">
        <f>G648+G654</f>
        <v>3249.3</v>
      </c>
      <c r="H647" s="567">
        <f>H648+H654</f>
        <v>3124.2150899999997</v>
      </c>
      <c r="I647" s="221">
        <f t="shared" si="50"/>
        <v>96.150404394792716</v>
      </c>
      <c r="J647" s="125"/>
      <c r="K647" s="125"/>
      <c r="L647" s="125"/>
      <c r="M647" s="125"/>
      <c r="N647" s="125"/>
    </row>
    <row r="648" spans="1:14" s="131" customFormat="1" ht="15.75" x14ac:dyDescent="0.25">
      <c r="A648" s="215" t="s">
        <v>144</v>
      </c>
      <c r="B648" s="218" t="s">
        <v>567</v>
      </c>
      <c r="C648" s="218" t="s">
        <v>145</v>
      </c>
      <c r="D648" s="218"/>
      <c r="E648" s="117"/>
      <c r="F648" s="217"/>
      <c r="G648" s="344">
        <f t="shared" ref="G648:H651" si="53">G649</f>
        <v>1007.3000000000001</v>
      </c>
      <c r="H648" s="344">
        <f t="shared" si="53"/>
        <v>909.72056999999995</v>
      </c>
      <c r="I648" s="102">
        <f t="shared" si="50"/>
        <v>90.312773751613221</v>
      </c>
      <c r="J648" s="125"/>
      <c r="K648" s="125"/>
      <c r="L648" s="125"/>
      <c r="M648" s="125"/>
      <c r="N648" s="125"/>
    </row>
    <row r="649" spans="1:14" s="131" customFormat="1" ht="15.75" x14ac:dyDescent="0.25">
      <c r="A649" s="215" t="s">
        <v>146</v>
      </c>
      <c r="B649" s="218" t="s">
        <v>567</v>
      </c>
      <c r="C649" s="218" t="s">
        <v>145</v>
      </c>
      <c r="D649" s="218" t="s">
        <v>120</v>
      </c>
      <c r="E649" s="117"/>
      <c r="F649" s="217"/>
      <c r="G649" s="344">
        <f t="shared" si="53"/>
        <v>1007.3000000000001</v>
      </c>
      <c r="H649" s="344">
        <f t="shared" si="53"/>
        <v>909.72056999999995</v>
      </c>
      <c r="I649" s="102">
        <f t="shared" si="50"/>
        <v>90.312773751613221</v>
      </c>
      <c r="J649" s="125"/>
      <c r="K649" s="125"/>
      <c r="L649" s="125"/>
      <c r="M649" s="125"/>
      <c r="N649" s="125"/>
    </row>
    <row r="650" spans="1:14" s="75" customFormat="1" ht="63" x14ac:dyDescent="0.25">
      <c r="A650" s="215" t="s">
        <v>852</v>
      </c>
      <c r="B650" s="218" t="s">
        <v>764</v>
      </c>
      <c r="C650" s="218" t="s">
        <v>145</v>
      </c>
      <c r="D650" s="218" t="s">
        <v>120</v>
      </c>
      <c r="E650" s="218"/>
      <c r="F650" s="217"/>
      <c r="G650" s="344">
        <f t="shared" si="53"/>
        <v>1007.3000000000001</v>
      </c>
      <c r="H650" s="344">
        <f t="shared" si="53"/>
        <v>909.72056999999995</v>
      </c>
      <c r="I650" s="102">
        <f t="shared" si="50"/>
        <v>90.312773751613221</v>
      </c>
      <c r="J650" s="125"/>
      <c r="K650" s="125"/>
      <c r="L650" s="125"/>
      <c r="M650" s="125"/>
      <c r="N650" s="125"/>
    </row>
    <row r="651" spans="1:14" s="75" customFormat="1" ht="81.599999999999994" customHeight="1" x14ac:dyDescent="0.25">
      <c r="A651" s="215" t="s">
        <v>84</v>
      </c>
      <c r="B651" s="218" t="s">
        <v>764</v>
      </c>
      <c r="C651" s="218" t="s">
        <v>145</v>
      </c>
      <c r="D651" s="218" t="s">
        <v>120</v>
      </c>
      <c r="E651" s="218" t="s">
        <v>85</v>
      </c>
      <c r="F651" s="217"/>
      <c r="G651" s="344">
        <f t="shared" si="53"/>
        <v>1007.3000000000001</v>
      </c>
      <c r="H651" s="344">
        <f t="shared" si="53"/>
        <v>909.72056999999995</v>
      </c>
      <c r="I651" s="102">
        <f t="shared" si="50"/>
        <v>90.312773751613221</v>
      </c>
      <c r="J651" s="125"/>
      <c r="K651" s="125"/>
      <c r="L651" s="125"/>
      <c r="M651" s="125"/>
      <c r="N651" s="125"/>
    </row>
    <row r="652" spans="1:14" s="75" customFormat="1" ht="29.45" customHeight="1" x14ac:dyDescent="0.25">
      <c r="A652" s="27" t="s">
        <v>168</v>
      </c>
      <c r="B652" s="218" t="s">
        <v>764</v>
      </c>
      <c r="C652" s="218" t="s">
        <v>145</v>
      </c>
      <c r="D652" s="218" t="s">
        <v>120</v>
      </c>
      <c r="E652" s="218" t="s">
        <v>117</v>
      </c>
      <c r="F652" s="217"/>
      <c r="G652" s="344">
        <f>'Пр.4 Ведом23'!G397</f>
        <v>1007.3000000000001</v>
      </c>
      <c r="H652" s="344">
        <f>'Пр.4 Ведом23'!H397</f>
        <v>909.72056999999995</v>
      </c>
      <c r="I652" s="102">
        <f t="shared" si="50"/>
        <v>90.312773751613221</v>
      </c>
      <c r="J652" s="125"/>
      <c r="K652" s="125"/>
      <c r="L652" s="125"/>
      <c r="M652" s="125"/>
      <c r="N652" s="125"/>
    </row>
    <row r="653" spans="1:14" s="131" customFormat="1" ht="54" customHeight="1" x14ac:dyDescent="0.25">
      <c r="A653" s="215" t="s">
        <v>876</v>
      </c>
      <c r="B653" s="218" t="s">
        <v>764</v>
      </c>
      <c r="C653" s="218" t="s">
        <v>145</v>
      </c>
      <c r="D653" s="218" t="s">
        <v>120</v>
      </c>
      <c r="E653" s="218" t="s">
        <v>117</v>
      </c>
      <c r="F653" s="217" t="s">
        <v>237</v>
      </c>
      <c r="G653" s="344">
        <f>G652</f>
        <v>1007.3000000000001</v>
      </c>
      <c r="H653" s="344">
        <f>H652</f>
        <v>909.72056999999995</v>
      </c>
      <c r="I653" s="102">
        <f t="shared" si="50"/>
        <v>90.312773751613221</v>
      </c>
      <c r="J653" s="125"/>
      <c r="K653" s="125"/>
      <c r="L653" s="125"/>
      <c r="M653" s="125"/>
      <c r="N653" s="125"/>
    </row>
    <row r="654" spans="1:14" s="131" customFormat="1" ht="15.75" x14ac:dyDescent="0.25">
      <c r="A654" s="40" t="s">
        <v>158</v>
      </c>
      <c r="B654" s="218" t="s">
        <v>565</v>
      </c>
      <c r="C654" s="218" t="s">
        <v>159</v>
      </c>
      <c r="D654" s="218"/>
      <c r="E654" s="218"/>
      <c r="F654" s="217"/>
      <c r="G654" s="344">
        <f>G655</f>
        <v>2242</v>
      </c>
      <c r="H654" s="344">
        <f>H655</f>
        <v>2214.4945199999997</v>
      </c>
      <c r="I654" s="102">
        <f t="shared" si="50"/>
        <v>98.773172167707386</v>
      </c>
      <c r="J654" s="125"/>
      <c r="K654" s="125"/>
      <c r="L654" s="125"/>
      <c r="M654" s="125"/>
      <c r="N654" s="125"/>
    </row>
    <row r="655" spans="1:14" s="131" customFormat="1" ht="15.75" x14ac:dyDescent="0.25">
      <c r="A655" s="40" t="s">
        <v>160</v>
      </c>
      <c r="B655" s="218" t="s">
        <v>565</v>
      </c>
      <c r="C655" s="218" t="s">
        <v>159</v>
      </c>
      <c r="D655" s="218" t="s">
        <v>81</v>
      </c>
      <c r="E655" s="218"/>
      <c r="F655" s="217"/>
      <c r="G655" s="344">
        <f>G656+G660</f>
        <v>2242</v>
      </c>
      <c r="H655" s="344">
        <f>H656+H660</f>
        <v>2214.4945199999997</v>
      </c>
      <c r="I655" s="102">
        <f t="shared" si="50"/>
        <v>98.773172167707386</v>
      </c>
      <c r="J655" s="125"/>
      <c r="K655" s="125"/>
      <c r="L655" s="125"/>
      <c r="M655" s="125"/>
      <c r="N655" s="125"/>
    </row>
    <row r="656" spans="1:14" s="75" customFormat="1" ht="78.75" x14ac:dyDescent="0.25">
      <c r="A656" s="215" t="s">
        <v>163</v>
      </c>
      <c r="B656" s="218" t="s">
        <v>616</v>
      </c>
      <c r="C656" s="218" t="s">
        <v>159</v>
      </c>
      <c r="D656" s="218" t="s">
        <v>81</v>
      </c>
      <c r="E656" s="218"/>
      <c r="F656" s="217"/>
      <c r="G656" s="344">
        <f>G657</f>
        <v>210.4</v>
      </c>
      <c r="H656" s="344">
        <f>H657</f>
        <v>182.89452</v>
      </c>
      <c r="I656" s="102">
        <f t="shared" si="50"/>
        <v>86.927053231939169</v>
      </c>
      <c r="J656" s="125"/>
      <c r="K656" s="125"/>
      <c r="L656" s="125"/>
      <c r="M656" s="125"/>
      <c r="N656" s="125"/>
    </row>
    <row r="657" spans="1:14" s="75" customFormat="1" ht="78.75" x14ac:dyDescent="0.25">
      <c r="A657" s="215" t="s">
        <v>84</v>
      </c>
      <c r="B657" s="218" t="s">
        <v>616</v>
      </c>
      <c r="C657" s="218" t="s">
        <v>159</v>
      </c>
      <c r="D657" s="218" t="s">
        <v>81</v>
      </c>
      <c r="E657" s="218" t="s">
        <v>85</v>
      </c>
      <c r="F657" s="217"/>
      <c r="G657" s="344">
        <f>G658</f>
        <v>210.4</v>
      </c>
      <c r="H657" s="344">
        <f>H658</f>
        <v>182.89452</v>
      </c>
      <c r="I657" s="102">
        <f t="shared" ref="I657:I720" si="54">H657/G657*100</f>
        <v>86.927053231939169</v>
      </c>
      <c r="J657" s="125"/>
      <c r="K657" s="125"/>
      <c r="L657" s="125"/>
      <c r="M657" s="125"/>
      <c r="N657" s="125"/>
    </row>
    <row r="658" spans="1:14" ht="31.5" x14ac:dyDescent="0.25">
      <c r="A658" s="215" t="s">
        <v>116</v>
      </c>
      <c r="B658" s="218" t="s">
        <v>616</v>
      </c>
      <c r="C658" s="218" t="s">
        <v>159</v>
      </c>
      <c r="D658" s="218" t="s">
        <v>81</v>
      </c>
      <c r="E658" s="218" t="s">
        <v>117</v>
      </c>
      <c r="F658" s="217"/>
      <c r="G658" s="344">
        <f>'Пр.4 Ведом23'!G481</f>
        <v>210.4</v>
      </c>
      <c r="H658" s="344">
        <f>'Пр.4 Ведом23'!H481</f>
        <v>182.89452</v>
      </c>
      <c r="I658" s="102">
        <f t="shared" si="54"/>
        <v>86.927053231939169</v>
      </c>
    </row>
    <row r="659" spans="1:14" s="131" customFormat="1" ht="47.25" x14ac:dyDescent="0.25">
      <c r="A659" s="215" t="s">
        <v>876</v>
      </c>
      <c r="B659" s="218" t="s">
        <v>616</v>
      </c>
      <c r="C659" s="218" t="s">
        <v>159</v>
      </c>
      <c r="D659" s="218" t="s">
        <v>81</v>
      </c>
      <c r="E659" s="218" t="s">
        <v>117</v>
      </c>
      <c r="F659" s="217" t="s">
        <v>237</v>
      </c>
      <c r="G659" s="344">
        <f>G658</f>
        <v>210.4</v>
      </c>
      <c r="H659" s="344">
        <f>H658</f>
        <v>182.89452</v>
      </c>
      <c r="I659" s="102">
        <f t="shared" si="54"/>
        <v>86.927053231939169</v>
      </c>
      <c r="J659" s="125"/>
      <c r="K659" s="125"/>
      <c r="L659" s="125"/>
      <c r="M659" s="125"/>
      <c r="N659" s="125"/>
    </row>
    <row r="660" spans="1:14" s="75" customFormat="1" ht="63" x14ac:dyDescent="0.25">
      <c r="A660" s="215" t="s">
        <v>852</v>
      </c>
      <c r="B660" s="218" t="s">
        <v>764</v>
      </c>
      <c r="C660" s="218" t="s">
        <v>159</v>
      </c>
      <c r="D660" s="218" t="s">
        <v>81</v>
      </c>
      <c r="E660" s="218"/>
      <c r="F660" s="217"/>
      <c r="G660" s="344">
        <f>G661+G664</f>
        <v>2031.6</v>
      </c>
      <c r="H660" s="344">
        <f>H661+H664</f>
        <v>2031.6</v>
      </c>
      <c r="I660" s="102">
        <f t="shared" si="54"/>
        <v>100</v>
      </c>
      <c r="J660" s="125"/>
      <c r="K660" s="125"/>
      <c r="L660" s="125"/>
      <c r="M660" s="125"/>
      <c r="N660" s="125"/>
    </row>
    <row r="661" spans="1:14" s="75" customFormat="1" ht="78.75" x14ac:dyDescent="0.25">
      <c r="A661" s="215" t="s">
        <v>84</v>
      </c>
      <c r="B661" s="218" t="s">
        <v>764</v>
      </c>
      <c r="C661" s="218" t="s">
        <v>159</v>
      </c>
      <c r="D661" s="218" t="s">
        <v>81</v>
      </c>
      <c r="E661" s="218" t="s">
        <v>85</v>
      </c>
      <c r="F661" s="217"/>
      <c r="G661" s="344">
        <f>G662</f>
        <v>1109.3</v>
      </c>
      <c r="H661" s="344">
        <f>H662</f>
        <v>1109.3</v>
      </c>
      <c r="I661" s="102">
        <f t="shared" si="54"/>
        <v>100</v>
      </c>
      <c r="J661" s="125"/>
      <c r="K661" s="125"/>
      <c r="L661" s="125"/>
      <c r="M661" s="125"/>
      <c r="N661" s="125"/>
    </row>
    <row r="662" spans="1:14" s="75" customFormat="1" ht="28.5" customHeight="1" x14ac:dyDescent="0.25">
      <c r="A662" s="27" t="s">
        <v>168</v>
      </c>
      <c r="B662" s="218" t="s">
        <v>764</v>
      </c>
      <c r="C662" s="218" t="s">
        <v>159</v>
      </c>
      <c r="D662" s="218" t="s">
        <v>81</v>
      </c>
      <c r="E662" s="218" t="s">
        <v>117</v>
      </c>
      <c r="F662" s="217"/>
      <c r="G662" s="344">
        <f>'Пр.4 Ведом23'!G484</f>
        <v>1109.3</v>
      </c>
      <c r="H662" s="344">
        <f>'Пр.4 Ведом23'!H484</f>
        <v>1109.3</v>
      </c>
      <c r="I662" s="102">
        <f t="shared" si="54"/>
        <v>100</v>
      </c>
      <c r="J662" s="125"/>
      <c r="K662" s="125"/>
      <c r="L662" s="125"/>
      <c r="M662" s="125"/>
      <c r="N662" s="125"/>
    </row>
    <row r="663" spans="1:14" s="131" customFormat="1" ht="50.45" customHeight="1" x14ac:dyDescent="0.25">
      <c r="A663" s="215" t="s">
        <v>876</v>
      </c>
      <c r="B663" s="218" t="s">
        <v>764</v>
      </c>
      <c r="C663" s="218" t="s">
        <v>159</v>
      </c>
      <c r="D663" s="218" t="s">
        <v>81</v>
      </c>
      <c r="E663" s="218" t="s">
        <v>117</v>
      </c>
      <c r="F663" s="217" t="s">
        <v>237</v>
      </c>
      <c r="G663" s="344">
        <f>G662</f>
        <v>1109.3</v>
      </c>
      <c r="H663" s="344">
        <f>H662</f>
        <v>1109.3</v>
      </c>
      <c r="I663" s="102">
        <f t="shared" si="54"/>
        <v>100</v>
      </c>
      <c r="J663" s="125"/>
      <c r="K663" s="125"/>
      <c r="L663" s="125"/>
      <c r="M663" s="125"/>
      <c r="N663" s="125"/>
    </row>
    <row r="664" spans="1:14" s="75" customFormat="1" ht="47.25" x14ac:dyDescent="0.25">
      <c r="A664" s="215" t="s">
        <v>149</v>
      </c>
      <c r="B664" s="218" t="s">
        <v>764</v>
      </c>
      <c r="C664" s="218" t="s">
        <v>159</v>
      </c>
      <c r="D664" s="218" t="s">
        <v>81</v>
      </c>
      <c r="E664" s="218" t="s">
        <v>150</v>
      </c>
      <c r="F664" s="217"/>
      <c r="G664" s="344">
        <f>G665</f>
        <v>922.3</v>
      </c>
      <c r="H664" s="344">
        <f>H665</f>
        <v>922.3</v>
      </c>
      <c r="I664" s="102">
        <f t="shared" si="54"/>
        <v>100</v>
      </c>
      <c r="J664" s="125"/>
      <c r="K664" s="125"/>
      <c r="L664" s="125"/>
      <c r="M664" s="125"/>
      <c r="N664" s="125"/>
    </row>
    <row r="665" spans="1:14" s="75" customFormat="1" ht="15.75" x14ac:dyDescent="0.25">
      <c r="A665" s="215" t="s">
        <v>151</v>
      </c>
      <c r="B665" s="218" t="s">
        <v>764</v>
      </c>
      <c r="C665" s="218" t="s">
        <v>159</v>
      </c>
      <c r="D665" s="218" t="s">
        <v>81</v>
      </c>
      <c r="E665" s="218" t="s">
        <v>152</v>
      </c>
      <c r="F665" s="217"/>
      <c r="G665" s="344">
        <f>'Пр.4 Ведом23'!G486</f>
        <v>922.3</v>
      </c>
      <c r="H665" s="344">
        <f>'Пр.4 Ведом23'!H486</f>
        <v>922.3</v>
      </c>
      <c r="I665" s="102">
        <f t="shared" si="54"/>
        <v>100</v>
      </c>
      <c r="J665" s="125"/>
      <c r="K665" s="125"/>
      <c r="L665" s="125"/>
      <c r="M665" s="125"/>
      <c r="N665" s="125"/>
    </row>
    <row r="666" spans="1:14" s="131" customFormat="1" ht="47.25" x14ac:dyDescent="0.25">
      <c r="A666" s="215" t="s">
        <v>876</v>
      </c>
      <c r="B666" s="218" t="s">
        <v>764</v>
      </c>
      <c r="C666" s="218" t="s">
        <v>159</v>
      </c>
      <c r="D666" s="218" t="s">
        <v>81</v>
      </c>
      <c r="E666" s="218" t="s">
        <v>152</v>
      </c>
      <c r="F666" s="217" t="s">
        <v>237</v>
      </c>
      <c r="G666" s="344">
        <f>G665</f>
        <v>922.3</v>
      </c>
      <c r="H666" s="344">
        <f>H665</f>
        <v>922.3</v>
      </c>
      <c r="I666" s="102">
        <f t="shared" si="54"/>
        <v>100</v>
      </c>
      <c r="J666" s="125"/>
      <c r="K666" s="125"/>
      <c r="L666" s="125"/>
      <c r="M666" s="125"/>
      <c r="N666" s="125"/>
    </row>
    <row r="667" spans="1:14" s="75" customFormat="1" ht="36.6" customHeight="1" x14ac:dyDescent="0.25">
      <c r="A667" s="116" t="s">
        <v>351</v>
      </c>
      <c r="B667" s="117" t="s">
        <v>569</v>
      </c>
      <c r="C667" s="117"/>
      <c r="D667" s="8"/>
      <c r="E667" s="117"/>
      <c r="F667" s="217"/>
      <c r="G667" s="302">
        <f t="shared" ref="G667:H671" si="55">G668</f>
        <v>1000</v>
      </c>
      <c r="H667" s="567">
        <f t="shared" si="55"/>
        <v>1000</v>
      </c>
      <c r="I667" s="221">
        <f t="shared" si="54"/>
        <v>100</v>
      </c>
      <c r="J667" s="125"/>
      <c r="K667" s="125"/>
      <c r="L667" s="125"/>
      <c r="M667" s="125"/>
      <c r="N667" s="125"/>
    </row>
    <row r="668" spans="1:14" s="131" customFormat="1" ht="22.7" customHeight="1" x14ac:dyDescent="0.25">
      <c r="A668" s="40" t="s">
        <v>158</v>
      </c>
      <c r="B668" s="218" t="s">
        <v>569</v>
      </c>
      <c r="C668" s="218" t="s">
        <v>159</v>
      </c>
      <c r="D668" s="218"/>
      <c r="E668" s="117"/>
      <c r="F668" s="217"/>
      <c r="G668" s="344">
        <f t="shared" si="55"/>
        <v>1000</v>
      </c>
      <c r="H668" s="344">
        <f t="shared" si="55"/>
        <v>1000</v>
      </c>
      <c r="I668" s="102">
        <f t="shared" si="54"/>
        <v>100</v>
      </c>
      <c r="J668" s="125"/>
      <c r="K668" s="125"/>
      <c r="L668" s="125"/>
      <c r="M668" s="125"/>
      <c r="N668" s="125"/>
    </row>
    <row r="669" spans="1:14" s="131" customFormat="1" ht="22.7" customHeight="1" x14ac:dyDescent="0.25">
      <c r="A669" s="40" t="s">
        <v>160</v>
      </c>
      <c r="B669" s="218" t="s">
        <v>569</v>
      </c>
      <c r="C669" s="218" t="s">
        <v>159</v>
      </c>
      <c r="D669" s="218" t="s">
        <v>81</v>
      </c>
      <c r="E669" s="117"/>
      <c r="F669" s="217"/>
      <c r="G669" s="344">
        <f t="shared" si="55"/>
        <v>1000</v>
      </c>
      <c r="H669" s="344">
        <f t="shared" si="55"/>
        <v>1000</v>
      </c>
      <c r="I669" s="102">
        <f t="shared" si="54"/>
        <v>100</v>
      </c>
      <c r="J669" s="125"/>
      <c r="K669" s="125"/>
      <c r="L669" s="125"/>
      <c r="M669" s="125"/>
      <c r="N669" s="125"/>
    </row>
    <row r="670" spans="1:14" s="75" customFormat="1" ht="31.5" x14ac:dyDescent="0.25">
      <c r="A670" s="215" t="s">
        <v>295</v>
      </c>
      <c r="B670" s="218" t="s">
        <v>570</v>
      </c>
      <c r="C670" s="218" t="s">
        <v>159</v>
      </c>
      <c r="D670" s="218" t="s">
        <v>81</v>
      </c>
      <c r="E670" s="218"/>
      <c r="F670" s="217"/>
      <c r="G670" s="344">
        <f t="shared" si="55"/>
        <v>1000</v>
      </c>
      <c r="H670" s="344">
        <f t="shared" si="55"/>
        <v>1000</v>
      </c>
      <c r="I670" s="102">
        <f t="shared" si="54"/>
        <v>100</v>
      </c>
      <c r="J670" s="125"/>
      <c r="K670" s="125"/>
      <c r="L670" s="125"/>
      <c r="M670" s="125"/>
      <c r="N670" s="125"/>
    </row>
    <row r="671" spans="1:14" s="75" customFormat="1" ht="31.5" x14ac:dyDescent="0.25">
      <c r="A671" s="215" t="s">
        <v>88</v>
      </c>
      <c r="B671" s="218" t="s">
        <v>570</v>
      </c>
      <c r="C671" s="218" t="s">
        <v>159</v>
      </c>
      <c r="D671" s="218" t="s">
        <v>81</v>
      </c>
      <c r="E671" s="218" t="s">
        <v>89</v>
      </c>
      <c r="F671" s="217"/>
      <c r="G671" s="344">
        <f t="shared" si="55"/>
        <v>1000</v>
      </c>
      <c r="H671" s="344">
        <f t="shared" si="55"/>
        <v>1000</v>
      </c>
      <c r="I671" s="102">
        <f t="shared" si="54"/>
        <v>100</v>
      </c>
      <c r="J671" s="125"/>
      <c r="K671" s="125"/>
      <c r="L671" s="125"/>
      <c r="M671" s="125"/>
      <c r="N671" s="125"/>
    </row>
    <row r="672" spans="1:14" s="75" customFormat="1" ht="47.25" x14ac:dyDescent="0.25">
      <c r="A672" s="215" t="s">
        <v>90</v>
      </c>
      <c r="B672" s="218" t="s">
        <v>570</v>
      </c>
      <c r="C672" s="218" t="s">
        <v>159</v>
      </c>
      <c r="D672" s="218" t="s">
        <v>81</v>
      </c>
      <c r="E672" s="218" t="s">
        <v>91</v>
      </c>
      <c r="F672" s="217"/>
      <c r="G672" s="344">
        <f>'Пр.4 Ведом23'!G490</f>
        <v>1000</v>
      </c>
      <c r="H672" s="344">
        <f>'Пр.4 Ведом23'!H490</f>
        <v>1000</v>
      </c>
      <c r="I672" s="102">
        <f t="shared" si="54"/>
        <v>100</v>
      </c>
      <c r="J672" s="125"/>
      <c r="K672" s="125"/>
      <c r="L672" s="125"/>
      <c r="M672" s="125"/>
      <c r="N672" s="125"/>
    </row>
    <row r="673" spans="1:14" s="131" customFormat="1" ht="47.25" x14ac:dyDescent="0.25">
      <c r="A673" s="215" t="s">
        <v>876</v>
      </c>
      <c r="B673" s="218" t="s">
        <v>570</v>
      </c>
      <c r="C673" s="218" t="s">
        <v>159</v>
      </c>
      <c r="D673" s="218" t="s">
        <v>81</v>
      </c>
      <c r="E673" s="218" t="s">
        <v>91</v>
      </c>
      <c r="F673" s="217" t="s">
        <v>237</v>
      </c>
      <c r="G673" s="344">
        <f>G672</f>
        <v>1000</v>
      </c>
      <c r="H673" s="344">
        <f>H672</f>
        <v>1000</v>
      </c>
      <c r="I673" s="102">
        <f t="shared" si="54"/>
        <v>100</v>
      </c>
      <c r="J673" s="125"/>
      <c r="K673" s="125"/>
      <c r="L673" s="125"/>
      <c r="M673" s="125"/>
      <c r="N673" s="125"/>
    </row>
    <row r="674" spans="1:14" s="75" customFormat="1" ht="36" hidden="1" customHeight="1" x14ac:dyDescent="0.25">
      <c r="A674" s="116" t="s">
        <v>438</v>
      </c>
      <c r="B674" s="117" t="s">
        <v>571</v>
      </c>
      <c r="C674" s="117"/>
      <c r="D674" s="8"/>
      <c r="E674" s="117"/>
      <c r="F674" s="217"/>
      <c r="G674" s="302">
        <f t="shared" ref="G674:H678" si="56">G675</f>
        <v>0</v>
      </c>
      <c r="H674" s="567">
        <f t="shared" si="56"/>
        <v>0</v>
      </c>
      <c r="I674" s="102" t="e">
        <f t="shared" si="54"/>
        <v>#DIV/0!</v>
      </c>
      <c r="J674" s="125"/>
      <c r="K674" s="125"/>
      <c r="L674" s="125"/>
      <c r="M674" s="125"/>
      <c r="N674" s="125"/>
    </row>
    <row r="675" spans="1:14" s="131" customFormat="1" ht="15.75" hidden="1" x14ac:dyDescent="0.25">
      <c r="A675" s="40" t="s">
        <v>158</v>
      </c>
      <c r="B675" s="218" t="s">
        <v>571</v>
      </c>
      <c r="C675" s="218" t="s">
        <v>159</v>
      </c>
      <c r="D675" s="218"/>
      <c r="E675" s="117"/>
      <c r="F675" s="217"/>
      <c r="G675" s="344">
        <f t="shared" si="56"/>
        <v>0</v>
      </c>
      <c r="H675" s="344">
        <f t="shared" si="56"/>
        <v>0</v>
      </c>
      <c r="I675" s="102" t="e">
        <f t="shared" si="54"/>
        <v>#DIV/0!</v>
      </c>
      <c r="J675" s="125"/>
      <c r="K675" s="125"/>
      <c r="L675" s="125"/>
      <c r="M675" s="125"/>
      <c r="N675" s="125"/>
    </row>
    <row r="676" spans="1:14" s="131" customFormat="1" ht="15.75" hidden="1" x14ac:dyDescent="0.25">
      <c r="A676" s="40" t="s">
        <v>160</v>
      </c>
      <c r="B676" s="218" t="s">
        <v>571</v>
      </c>
      <c r="C676" s="218" t="s">
        <v>159</v>
      </c>
      <c r="D676" s="218" t="s">
        <v>81</v>
      </c>
      <c r="E676" s="117"/>
      <c r="F676" s="217"/>
      <c r="G676" s="344">
        <f t="shared" si="56"/>
        <v>0</v>
      </c>
      <c r="H676" s="344">
        <f t="shared" si="56"/>
        <v>0</v>
      </c>
      <c r="I676" s="102" t="e">
        <f t="shared" si="54"/>
        <v>#DIV/0!</v>
      </c>
      <c r="J676" s="125"/>
      <c r="K676" s="125"/>
      <c r="L676" s="125"/>
      <c r="M676" s="125"/>
      <c r="N676" s="125"/>
    </row>
    <row r="677" spans="1:14" s="75" customFormat="1" ht="31.5" hidden="1" x14ac:dyDescent="0.25">
      <c r="A677" s="215" t="s">
        <v>669</v>
      </c>
      <c r="B677" s="218" t="s">
        <v>572</v>
      </c>
      <c r="C677" s="218" t="s">
        <v>159</v>
      </c>
      <c r="D677" s="218" t="s">
        <v>81</v>
      </c>
      <c r="E677" s="218"/>
      <c r="F677" s="217"/>
      <c r="G677" s="344">
        <f t="shared" si="56"/>
        <v>0</v>
      </c>
      <c r="H677" s="344">
        <f t="shared" si="56"/>
        <v>0</v>
      </c>
      <c r="I677" s="102" t="e">
        <f t="shared" si="54"/>
        <v>#DIV/0!</v>
      </c>
      <c r="J677" s="125"/>
      <c r="K677" s="125"/>
      <c r="L677" s="125"/>
      <c r="M677" s="125"/>
      <c r="N677" s="125"/>
    </row>
    <row r="678" spans="1:14" s="75" customFormat="1" ht="31.5" hidden="1" x14ac:dyDescent="0.25">
      <c r="A678" s="215" t="s">
        <v>88</v>
      </c>
      <c r="B678" s="218" t="s">
        <v>572</v>
      </c>
      <c r="C678" s="218" t="s">
        <v>159</v>
      </c>
      <c r="D678" s="218" t="s">
        <v>81</v>
      </c>
      <c r="E678" s="218" t="s">
        <v>89</v>
      </c>
      <c r="F678" s="217"/>
      <c r="G678" s="344">
        <f t="shared" si="56"/>
        <v>0</v>
      </c>
      <c r="H678" s="344">
        <f t="shared" si="56"/>
        <v>0</v>
      </c>
      <c r="I678" s="102" t="e">
        <f t="shared" si="54"/>
        <v>#DIV/0!</v>
      </c>
      <c r="J678" s="125"/>
      <c r="K678" s="125"/>
      <c r="L678" s="125"/>
      <c r="M678" s="125"/>
      <c r="N678" s="125"/>
    </row>
    <row r="679" spans="1:14" s="75" customFormat="1" ht="47.25" hidden="1" x14ac:dyDescent="0.25">
      <c r="A679" s="215" t="s">
        <v>90</v>
      </c>
      <c r="B679" s="218" t="s">
        <v>572</v>
      </c>
      <c r="C679" s="218" t="s">
        <v>159</v>
      </c>
      <c r="D679" s="218" t="s">
        <v>81</v>
      </c>
      <c r="E679" s="218" t="s">
        <v>91</v>
      </c>
      <c r="F679" s="217"/>
      <c r="G679" s="344">
        <f>'Пр.4 Ведом23'!G494</f>
        <v>0</v>
      </c>
      <c r="H679" s="344">
        <f>'Пр.4 Ведом23'!H494</f>
        <v>0</v>
      </c>
      <c r="I679" s="102" t="e">
        <f t="shared" si="54"/>
        <v>#DIV/0!</v>
      </c>
      <c r="J679" s="125"/>
      <c r="K679" s="125"/>
      <c r="L679" s="125"/>
      <c r="M679" s="125"/>
      <c r="N679" s="125"/>
    </row>
    <row r="680" spans="1:14" s="131" customFormat="1" ht="47.25" hidden="1" x14ac:dyDescent="0.25">
      <c r="A680" s="215" t="s">
        <v>876</v>
      </c>
      <c r="B680" s="218" t="s">
        <v>572</v>
      </c>
      <c r="C680" s="218" t="s">
        <v>159</v>
      </c>
      <c r="D680" s="218" t="s">
        <v>81</v>
      </c>
      <c r="E680" s="218" t="s">
        <v>91</v>
      </c>
      <c r="F680" s="217" t="s">
        <v>237</v>
      </c>
      <c r="G680" s="344">
        <f>G679</f>
        <v>0</v>
      </c>
      <c r="H680" s="344">
        <f>H679</f>
        <v>0</v>
      </c>
      <c r="I680" s="102" t="e">
        <f t="shared" si="54"/>
        <v>#DIV/0!</v>
      </c>
      <c r="J680" s="125"/>
      <c r="K680" s="125"/>
      <c r="L680" s="125"/>
      <c r="M680" s="125"/>
      <c r="N680" s="125"/>
    </row>
    <row r="681" spans="1:14" s="75" customFormat="1" ht="31.5" hidden="1" x14ac:dyDescent="0.25">
      <c r="A681" s="215" t="s">
        <v>761</v>
      </c>
      <c r="B681" s="218" t="s">
        <v>762</v>
      </c>
      <c r="C681" s="218" t="s">
        <v>159</v>
      </c>
      <c r="D681" s="218" t="s">
        <v>81</v>
      </c>
      <c r="E681" s="218"/>
      <c r="F681" s="217"/>
      <c r="G681" s="344">
        <f>G682</f>
        <v>0</v>
      </c>
      <c r="H681" s="344">
        <f>H682</f>
        <v>0</v>
      </c>
      <c r="I681" s="102" t="e">
        <f t="shared" si="54"/>
        <v>#DIV/0!</v>
      </c>
      <c r="J681" s="125"/>
      <c r="K681" s="125"/>
      <c r="L681" s="125"/>
      <c r="M681" s="125"/>
      <c r="N681" s="125"/>
    </row>
    <row r="682" spans="1:14" s="75" customFormat="1" ht="31.5" hidden="1" x14ac:dyDescent="0.25">
      <c r="A682" s="215" t="s">
        <v>88</v>
      </c>
      <c r="B682" s="218" t="s">
        <v>762</v>
      </c>
      <c r="C682" s="218" t="s">
        <v>159</v>
      </c>
      <c r="D682" s="218" t="s">
        <v>81</v>
      </c>
      <c r="E682" s="218" t="s">
        <v>89</v>
      </c>
      <c r="F682" s="217"/>
      <c r="G682" s="344">
        <f>G683</f>
        <v>0</v>
      </c>
      <c r="H682" s="344">
        <f>H683</f>
        <v>0</v>
      </c>
      <c r="I682" s="102" t="e">
        <f t="shared" si="54"/>
        <v>#DIV/0!</v>
      </c>
      <c r="J682" s="125"/>
      <c r="K682" s="125"/>
      <c r="L682" s="125"/>
      <c r="M682" s="125"/>
      <c r="N682" s="125"/>
    </row>
    <row r="683" spans="1:14" s="75" customFormat="1" ht="47.25" hidden="1" x14ac:dyDescent="0.25">
      <c r="A683" s="215" t="s">
        <v>90</v>
      </c>
      <c r="B683" s="218" t="s">
        <v>762</v>
      </c>
      <c r="C683" s="218" t="s">
        <v>159</v>
      </c>
      <c r="D683" s="218" t="s">
        <v>81</v>
      </c>
      <c r="E683" s="218" t="s">
        <v>91</v>
      </c>
      <c r="F683" s="217"/>
      <c r="G683" s="344">
        <f>'Пр.4 Ведом23'!G497</f>
        <v>0</v>
      </c>
      <c r="H683" s="344">
        <f>'Пр.4 Ведом23'!H497</f>
        <v>0</v>
      </c>
      <c r="I683" s="102" t="e">
        <f t="shared" si="54"/>
        <v>#DIV/0!</v>
      </c>
      <c r="J683" s="125"/>
      <c r="K683" s="125"/>
      <c r="L683" s="125"/>
      <c r="M683" s="125"/>
      <c r="N683" s="125"/>
    </row>
    <row r="684" spans="1:14" s="131" customFormat="1" ht="47.25" hidden="1" x14ac:dyDescent="0.25">
      <c r="A684" s="215" t="s">
        <v>876</v>
      </c>
      <c r="B684" s="218" t="s">
        <v>762</v>
      </c>
      <c r="C684" s="218" t="s">
        <v>159</v>
      </c>
      <c r="D684" s="218" t="s">
        <v>81</v>
      </c>
      <c r="E684" s="218" t="s">
        <v>91</v>
      </c>
      <c r="F684" s="217" t="s">
        <v>237</v>
      </c>
      <c r="G684" s="344">
        <f>G683</f>
        <v>0</v>
      </c>
      <c r="H684" s="344">
        <f>H683</f>
        <v>0</v>
      </c>
      <c r="I684" s="102" t="e">
        <f t="shared" si="54"/>
        <v>#DIV/0!</v>
      </c>
      <c r="J684" s="125"/>
      <c r="K684" s="125"/>
      <c r="L684" s="125"/>
      <c r="M684" s="125"/>
      <c r="N684" s="125"/>
    </row>
    <row r="685" spans="1:14" ht="63" x14ac:dyDescent="0.25">
      <c r="A685" s="30" t="s">
        <v>861</v>
      </c>
      <c r="B685" s="117" t="s">
        <v>568</v>
      </c>
      <c r="C685" s="117"/>
      <c r="D685" s="217"/>
      <c r="E685" s="117"/>
      <c r="F685" s="217"/>
      <c r="G685" s="302">
        <f t="shared" ref="G685:H689" si="57">G686</f>
        <v>5000</v>
      </c>
      <c r="H685" s="567">
        <f t="shared" si="57"/>
        <v>5000</v>
      </c>
      <c r="I685" s="221">
        <f t="shared" si="54"/>
        <v>100</v>
      </c>
    </row>
    <row r="686" spans="1:14" s="131" customFormat="1" ht="15.75" x14ac:dyDescent="0.25">
      <c r="A686" s="40" t="s">
        <v>158</v>
      </c>
      <c r="B686" s="218" t="s">
        <v>568</v>
      </c>
      <c r="C686" s="218" t="s">
        <v>159</v>
      </c>
      <c r="D686" s="218"/>
      <c r="E686" s="117"/>
      <c r="F686" s="217"/>
      <c r="G686" s="344">
        <f t="shared" si="57"/>
        <v>5000</v>
      </c>
      <c r="H686" s="344">
        <f t="shared" si="57"/>
        <v>5000</v>
      </c>
      <c r="I686" s="102">
        <f t="shared" si="54"/>
        <v>100</v>
      </c>
      <c r="J686" s="125"/>
      <c r="K686" s="125"/>
      <c r="L686" s="125"/>
      <c r="M686" s="125"/>
      <c r="N686" s="125"/>
    </row>
    <row r="687" spans="1:14" s="131" customFormat="1" ht="15.75" x14ac:dyDescent="0.25">
      <c r="A687" s="40" t="s">
        <v>160</v>
      </c>
      <c r="B687" s="218" t="s">
        <v>568</v>
      </c>
      <c r="C687" s="218" t="s">
        <v>159</v>
      </c>
      <c r="D687" s="218" t="s">
        <v>81</v>
      </c>
      <c r="E687" s="117"/>
      <c r="F687" s="217"/>
      <c r="G687" s="344">
        <f t="shared" si="57"/>
        <v>5000</v>
      </c>
      <c r="H687" s="344">
        <f t="shared" si="57"/>
        <v>5000</v>
      </c>
      <c r="I687" s="102">
        <f t="shared" si="54"/>
        <v>100</v>
      </c>
      <c r="J687" s="125"/>
      <c r="K687" s="125"/>
      <c r="L687" s="125"/>
      <c r="M687" s="125"/>
      <c r="N687" s="125"/>
    </row>
    <row r="688" spans="1:14" ht="15.75" x14ac:dyDescent="0.25">
      <c r="A688" s="121" t="s">
        <v>856</v>
      </c>
      <c r="B688" s="218" t="s">
        <v>857</v>
      </c>
      <c r="C688" s="218" t="s">
        <v>159</v>
      </c>
      <c r="D688" s="218" t="s">
        <v>81</v>
      </c>
      <c r="E688" s="218"/>
      <c r="F688" s="300"/>
      <c r="G688" s="342">
        <f t="shared" si="57"/>
        <v>5000</v>
      </c>
      <c r="H688" s="565">
        <f t="shared" si="57"/>
        <v>5000</v>
      </c>
      <c r="I688" s="102">
        <f t="shared" si="54"/>
        <v>100</v>
      </c>
    </row>
    <row r="689" spans="1:14" s="75" customFormat="1" ht="31.5" x14ac:dyDescent="0.25">
      <c r="A689" s="215" t="s">
        <v>88</v>
      </c>
      <c r="B689" s="218" t="s">
        <v>857</v>
      </c>
      <c r="C689" s="218" t="s">
        <v>159</v>
      </c>
      <c r="D689" s="218" t="s">
        <v>81</v>
      </c>
      <c r="E689" s="218" t="s">
        <v>89</v>
      </c>
      <c r="F689" s="74"/>
      <c r="G689" s="344">
        <f t="shared" si="57"/>
        <v>5000</v>
      </c>
      <c r="H689" s="344">
        <f t="shared" si="57"/>
        <v>5000</v>
      </c>
      <c r="I689" s="102">
        <f t="shared" si="54"/>
        <v>100</v>
      </c>
      <c r="J689" s="125"/>
      <c r="K689" s="125"/>
      <c r="L689" s="125"/>
      <c r="M689" s="125"/>
      <c r="N689" s="125"/>
    </row>
    <row r="690" spans="1:14" ht="47.25" x14ac:dyDescent="0.25">
      <c r="A690" s="215" t="s">
        <v>90</v>
      </c>
      <c r="B690" s="218" t="s">
        <v>857</v>
      </c>
      <c r="C690" s="218" t="s">
        <v>159</v>
      </c>
      <c r="D690" s="218" t="s">
        <v>81</v>
      </c>
      <c r="E690" s="218" t="s">
        <v>91</v>
      </c>
      <c r="F690" s="300"/>
      <c r="G690" s="344">
        <f>'Пр.4 Ведом23'!G509</f>
        <v>5000</v>
      </c>
      <c r="H690" s="344">
        <f>'Пр.4 Ведом23'!H509</f>
        <v>5000</v>
      </c>
      <c r="I690" s="102">
        <f t="shared" si="54"/>
        <v>100</v>
      </c>
    </row>
    <row r="691" spans="1:14" s="131" customFormat="1" ht="47.25" x14ac:dyDescent="0.25">
      <c r="A691" s="215" t="s">
        <v>876</v>
      </c>
      <c r="B691" s="218" t="s">
        <v>857</v>
      </c>
      <c r="C691" s="218" t="s">
        <v>159</v>
      </c>
      <c r="D691" s="218" t="s">
        <v>81</v>
      </c>
      <c r="E691" s="218" t="s">
        <v>91</v>
      </c>
      <c r="F691" s="300">
        <v>903</v>
      </c>
      <c r="G691" s="344">
        <f>G690</f>
        <v>5000</v>
      </c>
      <c r="H691" s="344">
        <f>H690</f>
        <v>5000</v>
      </c>
      <c r="I691" s="102">
        <f t="shared" si="54"/>
        <v>100</v>
      </c>
      <c r="J691" s="125"/>
      <c r="K691" s="125"/>
      <c r="L691" s="125"/>
      <c r="M691" s="125"/>
      <c r="N691" s="125"/>
    </row>
    <row r="692" spans="1:14" ht="19.5" hidden="1" customHeight="1" x14ac:dyDescent="0.25">
      <c r="A692" s="225" t="s">
        <v>759</v>
      </c>
      <c r="B692" s="218" t="s">
        <v>760</v>
      </c>
      <c r="C692" s="117"/>
      <c r="D692" s="217"/>
      <c r="E692" s="117"/>
      <c r="F692" s="299"/>
      <c r="G692" s="344">
        <f>G693</f>
        <v>0</v>
      </c>
      <c r="H692" s="344">
        <f>H693</f>
        <v>0</v>
      </c>
      <c r="I692" s="102" t="e">
        <f t="shared" si="54"/>
        <v>#DIV/0!</v>
      </c>
    </row>
    <row r="693" spans="1:14" ht="47.25" hidden="1" x14ac:dyDescent="0.25">
      <c r="A693" s="215" t="s">
        <v>149</v>
      </c>
      <c r="B693" s="218" t="s">
        <v>760</v>
      </c>
      <c r="C693" s="218" t="s">
        <v>150</v>
      </c>
      <c r="D693" s="217"/>
      <c r="E693" s="218" t="s">
        <v>150</v>
      </c>
      <c r="F693" s="299"/>
      <c r="G693" s="344">
        <f>G694</f>
        <v>0</v>
      </c>
      <c r="H693" s="344">
        <f>H694</f>
        <v>0</v>
      </c>
      <c r="I693" s="102" t="e">
        <f t="shared" si="54"/>
        <v>#DIV/0!</v>
      </c>
    </row>
    <row r="694" spans="1:14" ht="15.75" hidden="1" x14ac:dyDescent="0.25">
      <c r="A694" s="215" t="s">
        <v>151</v>
      </c>
      <c r="B694" s="218" t="s">
        <v>760</v>
      </c>
      <c r="C694" s="218" t="s">
        <v>152</v>
      </c>
      <c r="D694" s="217"/>
      <c r="E694" s="218" t="s">
        <v>152</v>
      </c>
      <c r="F694" s="299"/>
      <c r="G694" s="344"/>
      <c r="H694" s="344"/>
      <c r="I694" s="102" t="e">
        <f t="shared" si="54"/>
        <v>#DIV/0!</v>
      </c>
    </row>
    <row r="695" spans="1:14" ht="31.5" hidden="1" x14ac:dyDescent="0.25">
      <c r="A695" s="116" t="s">
        <v>811</v>
      </c>
      <c r="B695" s="117" t="s">
        <v>776</v>
      </c>
      <c r="C695" s="117"/>
      <c r="D695" s="217"/>
      <c r="E695" s="117"/>
      <c r="F695" s="299"/>
      <c r="G695" s="302">
        <f t="shared" ref="G695:H697" si="58">G696</f>
        <v>0</v>
      </c>
      <c r="H695" s="567">
        <f t="shared" si="58"/>
        <v>0</v>
      </c>
      <c r="I695" s="102" t="e">
        <f t="shared" si="54"/>
        <v>#DIV/0!</v>
      </c>
    </row>
    <row r="696" spans="1:14" s="131" customFormat="1" ht="15.75" hidden="1" x14ac:dyDescent="0.25">
      <c r="A696" s="40" t="s">
        <v>158</v>
      </c>
      <c r="B696" s="218" t="s">
        <v>776</v>
      </c>
      <c r="C696" s="218" t="s">
        <v>159</v>
      </c>
      <c r="D696" s="218"/>
      <c r="E696" s="117"/>
      <c r="F696" s="299"/>
      <c r="G696" s="344">
        <f t="shared" si="58"/>
        <v>0</v>
      </c>
      <c r="H696" s="344">
        <f t="shared" si="58"/>
        <v>0</v>
      </c>
      <c r="I696" s="102" t="e">
        <f t="shared" si="54"/>
        <v>#DIV/0!</v>
      </c>
      <c r="J696" s="125"/>
      <c r="K696" s="125"/>
      <c r="L696" s="125"/>
      <c r="M696" s="125"/>
      <c r="N696" s="125"/>
    </row>
    <row r="697" spans="1:14" s="131" customFormat="1" ht="15.75" hidden="1" x14ac:dyDescent="0.25">
      <c r="A697" s="40" t="s">
        <v>160</v>
      </c>
      <c r="B697" s="218" t="s">
        <v>776</v>
      </c>
      <c r="C697" s="218" t="s">
        <v>159</v>
      </c>
      <c r="D697" s="218" t="s">
        <v>81</v>
      </c>
      <c r="E697" s="117"/>
      <c r="F697" s="299"/>
      <c r="G697" s="344">
        <f t="shared" si="58"/>
        <v>0</v>
      </c>
      <c r="H697" s="344">
        <f t="shared" si="58"/>
        <v>0</v>
      </c>
      <c r="I697" s="102" t="e">
        <f t="shared" si="54"/>
        <v>#DIV/0!</v>
      </c>
      <c r="J697" s="125"/>
      <c r="K697" s="125"/>
      <c r="L697" s="125"/>
      <c r="M697" s="125"/>
      <c r="N697" s="125"/>
    </row>
    <row r="698" spans="1:14" s="75" customFormat="1" ht="15.75" hidden="1" x14ac:dyDescent="0.25">
      <c r="A698" s="26" t="s">
        <v>552</v>
      </c>
      <c r="B698" s="218" t="s">
        <v>777</v>
      </c>
      <c r="C698" s="218" t="s">
        <v>159</v>
      </c>
      <c r="D698" s="218" t="s">
        <v>81</v>
      </c>
      <c r="E698" s="218"/>
      <c r="F698" s="299"/>
      <c r="G698" s="344">
        <f>G699+G702</f>
        <v>0</v>
      </c>
      <c r="H698" s="344">
        <f>H699+H702</f>
        <v>0</v>
      </c>
      <c r="I698" s="102" t="e">
        <f t="shared" si="54"/>
        <v>#DIV/0!</v>
      </c>
      <c r="J698" s="125"/>
      <c r="K698" s="125"/>
      <c r="L698" s="125"/>
      <c r="M698" s="125"/>
      <c r="N698" s="125"/>
    </row>
    <row r="699" spans="1:14" s="75" customFormat="1" ht="31.5" hidden="1" x14ac:dyDescent="0.25">
      <c r="A699" s="215" t="s">
        <v>88</v>
      </c>
      <c r="B699" s="218" t="s">
        <v>777</v>
      </c>
      <c r="C699" s="218" t="s">
        <v>159</v>
      </c>
      <c r="D699" s="218" t="s">
        <v>81</v>
      </c>
      <c r="E699" s="218" t="s">
        <v>89</v>
      </c>
      <c r="F699" s="74"/>
      <c r="G699" s="344">
        <f>G700</f>
        <v>0</v>
      </c>
      <c r="H699" s="344">
        <f>H700</f>
        <v>0</v>
      </c>
      <c r="I699" s="102" t="e">
        <f t="shared" si="54"/>
        <v>#DIV/0!</v>
      </c>
      <c r="J699" s="125"/>
      <c r="K699" s="125"/>
      <c r="L699" s="125"/>
      <c r="M699" s="125"/>
      <c r="N699" s="125"/>
    </row>
    <row r="700" spans="1:14" s="75" customFormat="1" ht="47.25" hidden="1" x14ac:dyDescent="0.25">
      <c r="A700" s="215" t="s">
        <v>90</v>
      </c>
      <c r="B700" s="218" t="s">
        <v>777</v>
      </c>
      <c r="C700" s="218" t="s">
        <v>159</v>
      </c>
      <c r="D700" s="218" t="s">
        <v>81</v>
      </c>
      <c r="E700" s="218" t="s">
        <v>91</v>
      </c>
      <c r="F700" s="300"/>
      <c r="G700" s="344">
        <f>'Пр.4 Ведом23'!G516</f>
        <v>0</v>
      </c>
      <c r="H700" s="344">
        <f>'Пр.4 Ведом23'!H516</f>
        <v>0</v>
      </c>
      <c r="I700" s="102" t="e">
        <f t="shared" si="54"/>
        <v>#DIV/0!</v>
      </c>
      <c r="J700" s="125"/>
      <c r="K700" s="125"/>
      <c r="L700" s="125"/>
      <c r="M700" s="125"/>
      <c r="N700" s="125"/>
    </row>
    <row r="701" spans="1:14" s="131" customFormat="1" ht="47.25" hidden="1" x14ac:dyDescent="0.25">
      <c r="A701" s="215" t="s">
        <v>876</v>
      </c>
      <c r="B701" s="218" t="s">
        <v>777</v>
      </c>
      <c r="C701" s="218" t="s">
        <v>159</v>
      </c>
      <c r="D701" s="218" t="s">
        <v>81</v>
      </c>
      <c r="E701" s="218" t="s">
        <v>91</v>
      </c>
      <c r="F701" s="300">
        <v>903</v>
      </c>
      <c r="G701" s="344">
        <f>G700</f>
        <v>0</v>
      </c>
      <c r="H701" s="344">
        <f>H700</f>
        <v>0</v>
      </c>
      <c r="I701" s="102" t="e">
        <f t="shared" si="54"/>
        <v>#DIV/0!</v>
      </c>
      <c r="J701" s="125"/>
      <c r="K701" s="125"/>
      <c r="L701" s="125"/>
      <c r="M701" s="125"/>
      <c r="N701" s="125"/>
    </row>
    <row r="702" spans="1:14" s="75" customFormat="1" ht="47.25" hidden="1" x14ac:dyDescent="0.25">
      <c r="A702" s="215" t="s">
        <v>149</v>
      </c>
      <c r="B702" s="218" t="s">
        <v>777</v>
      </c>
      <c r="C702" s="218" t="s">
        <v>159</v>
      </c>
      <c r="D702" s="218" t="s">
        <v>81</v>
      </c>
      <c r="E702" s="218" t="s">
        <v>150</v>
      </c>
      <c r="F702" s="299"/>
      <c r="G702" s="344">
        <f>G703</f>
        <v>0</v>
      </c>
      <c r="H702" s="344">
        <f>H703</f>
        <v>0</v>
      </c>
      <c r="I702" s="102" t="e">
        <f t="shared" si="54"/>
        <v>#DIV/0!</v>
      </c>
      <c r="J702" s="125"/>
      <c r="K702" s="125"/>
      <c r="L702" s="125"/>
      <c r="M702" s="125"/>
      <c r="N702" s="125"/>
    </row>
    <row r="703" spans="1:14" ht="31.7" hidden="1" customHeight="1" x14ac:dyDescent="0.25">
      <c r="A703" s="215" t="s">
        <v>151</v>
      </c>
      <c r="B703" s="218" t="s">
        <v>777</v>
      </c>
      <c r="C703" s="218" t="s">
        <v>159</v>
      </c>
      <c r="D703" s="218" t="s">
        <v>81</v>
      </c>
      <c r="E703" s="218" t="s">
        <v>152</v>
      </c>
      <c r="F703" s="299"/>
      <c r="G703" s="344">
        <f>'Пр.4 Ведом23'!G518</f>
        <v>0</v>
      </c>
      <c r="H703" s="344">
        <f>'Пр.4 Ведом23'!H518</f>
        <v>0</v>
      </c>
      <c r="I703" s="102" t="e">
        <f t="shared" si="54"/>
        <v>#DIV/0!</v>
      </c>
    </row>
    <row r="704" spans="1:14" s="131" customFormat="1" ht="47.45" hidden="1" customHeight="1" x14ac:dyDescent="0.25">
      <c r="A704" s="215" t="s">
        <v>876</v>
      </c>
      <c r="B704" s="218" t="s">
        <v>777</v>
      </c>
      <c r="C704" s="218" t="s">
        <v>159</v>
      </c>
      <c r="D704" s="218" t="s">
        <v>81</v>
      </c>
      <c r="E704" s="218" t="s">
        <v>152</v>
      </c>
      <c r="F704" s="299">
        <v>903</v>
      </c>
      <c r="G704" s="344">
        <f>G703</f>
        <v>0</v>
      </c>
      <c r="H704" s="344">
        <f>H703</f>
        <v>0</v>
      </c>
      <c r="I704" s="102" t="e">
        <f t="shared" si="54"/>
        <v>#DIV/0!</v>
      </c>
      <c r="J704" s="125"/>
      <c r="K704" s="125"/>
      <c r="L704" s="125"/>
      <c r="M704" s="125"/>
      <c r="N704" s="125"/>
    </row>
    <row r="705" spans="1:14" ht="63" x14ac:dyDescent="0.25">
      <c r="A705" s="116" t="s">
        <v>894</v>
      </c>
      <c r="B705" s="117" t="s">
        <v>162</v>
      </c>
      <c r="C705" s="117"/>
      <c r="D705" s="217"/>
      <c r="E705" s="217"/>
      <c r="F705" s="299"/>
      <c r="G705" s="302">
        <f>G706</f>
        <v>128.94</v>
      </c>
      <c r="H705" s="567">
        <f>H706</f>
        <v>128.93700000000001</v>
      </c>
      <c r="I705" s="221">
        <f t="shared" si="54"/>
        <v>99.997673336435568</v>
      </c>
    </row>
    <row r="706" spans="1:14" s="131" customFormat="1" ht="63" x14ac:dyDescent="0.25">
      <c r="A706" s="22" t="s">
        <v>452</v>
      </c>
      <c r="B706" s="117" t="s">
        <v>372</v>
      </c>
      <c r="C706" s="218"/>
      <c r="D706" s="217"/>
      <c r="E706" s="217"/>
      <c r="F706" s="299"/>
      <c r="G706" s="302">
        <f>G707+G713+G719+G735</f>
        <v>128.94</v>
      </c>
      <c r="H706" s="567">
        <f>H707+H713+H719+H735</f>
        <v>128.93700000000001</v>
      </c>
      <c r="I706" s="221">
        <f t="shared" si="54"/>
        <v>99.997673336435568</v>
      </c>
      <c r="J706" s="125"/>
      <c r="K706" s="125"/>
      <c r="L706" s="125"/>
      <c r="M706" s="125"/>
      <c r="N706" s="125"/>
    </row>
    <row r="707" spans="1:14" s="131" customFormat="1" ht="15.75" hidden="1" x14ac:dyDescent="0.25">
      <c r="A707" s="26" t="s">
        <v>80</v>
      </c>
      <c r="B707" s="218" t="s">
        <v>372</v>
      </c>
      <c r="C707" s="218" t="s">
        <v>81</v>
      </c>
      <c r="D707" s="217"/>
      <c r="E707" s="217"/>
      <c r="F707" s="299"/>
      <c r="G707" s="344">
        <f t="shared" ref="G707:H710" si="59">G708</f>
        <v>0</v>
      </c>
      <c r="H707" s="344">
        <f t="shared" si="59"/>
        <v>0</v>
      </c>
      <c r="I707" s="102" t="e">
        <f t="shared" si="54"/>
        <v>#DIV/0!</v>
      </c>
      <c r="J707" s="125"/>
      <c r="K707" s="125"/>
      <c r="L707" s="125"/>
      <c r="M707" s="125"/>
      <c r="N707" s="125"/>
    </row>
    <row r="708" spans="1:14" s="131" customFormat="1" ht="15.75" hidden="1" x14ac:dyDescent="0.25">
      <c r="A708" s="26" t="s">
        <v>95</v>
      </c>
      <c r="B708" s="218" t="s">
        <v>372</v>
      </c>
      <c r="C708" s="218" t="s">
        <v>81</v>
      </c>
      <c r="D708" s="217" t="s">
        <v>96</v>
      </c>
      <c r="E708" s="217"/>
      <c r="F708" s="299"/>
      <c r="G708" s="344">
        <f t="shared" si="59"/>
        <v>0</v>
      </c>
      <c r="H708" s="344">
        <f t="shared" si="59"/>
        <v>0</v>
      </c>
      <c r="I708" s="102" t="e">
        <f t="shared" si="54"/>
        <v>#DIV/0!</v>
      </c>
      <c r="J708" s="125"/>
      <c r="K708" s="125"/>
      <c r="L708" s="125"/>
      <c r="M708" s="125"/>
      <c r="N708" s="125"/>
    </row>
    <row r="709" spans="1:14" ht="47.25" hidden="1" x14ac:dyDescent="0.25">
      <c r="A709" s="215" t="s">
        <v>493</v>
      </c>
      <c r="B709" s="218" t="s">
        <v>453</v>
      </c>
      <c r="C709" s="218" t="s">
        <v>81</v>
      </c>
      <c r="D709" s="217" t="s">
        <v>96</v>
      </c>
      <c r="E709" s="217"/>
      <c r="F709" s="299"/>
      <c r="G709" s="344">
        <f t="shared" si="59"/>
        <v>0</v>
      </c>
      <c r="H709" s="344">
        <f t="shared" si="59"/>
        <v>0</v>
      </c>
      <c r="I709" s="102" t="e">
        <f t="shared" si="54"/>
        <v>#DIV/0!</v>
      </c>
    </row>
    <row r="710" spans="1:14" ht="31.5" hidden="1" x14ac:dyDescent="0.25">
      <c r="A710" s="215" t="s">
        <v>114</v>
      </c>
      <c r="B710" s="218" t="s">
        <v>453</v>
      </c>
      <c r="C710" s="218" t="s">
        <v>81</v>
      </c>
      <c r="D710" s="217" t="s">
        <v>96</v>
      </c>
      <c r="E710" s="218" t="s">
        <v>89</v>
      </c>
      <c r="F710" s="299"/>
      <c r="G710" s="344">
        <f t="shared" si="59"/>
        <v>0</v>
      </c>
      <c r="H710" s="344">
        <f t="shared" si="59"/>
        <v>0</v>
      </c>
      <c r="I710" s="102" t="e">
        <f t="shared" si="54"/>
        <v>#DIV/0!</v>
      </c>
    </row>
    <row r="711" spans="1:14" s="75" customFormat="1" ht="47.25" hidden="1" x14ac:dyDescent="0.25">
      <c r="A711" s="215" t="s">
        <v>90</v>
      </c>
      <c r="B711" s="218" t="s">
        <v>453</v>
      </c>
      <c r="C711" s="218" t="s">
        <v>81</v>
      </c>
      <c r="D711" s="217" t="s">
        <v>96</v>
      </c>
      <c r="E711" s="218" t="s">
        <v>91</v>
      </c>
      <c r="F711" s="299"/>
      <c r="G711" s="344">
        <f>'Пр.4 Ведом23'!G164</f>
        <v>0</v>
      </c>
      <c r="H711" s="344">
        <f>'Пр.4 Ведом23'!H164</f>
        <v>0</v>
      </c>
      <c r="I711" s="102" t="e">
        <f t="shared" si="54"/>
        <v>#DIV/0!</v>
      </c>
      <c r="J711" s="125"/>
      <c r="K711" s="125"/>
      <c r="L711" s="125"/>
      <c r="M711" s="125"/>
      <c r="N711" s="125"/>
    </row>
    <row r="712" spans="1:14" s="131" customFormat="1" ht="31.5" hidden="1" x14ac:dyDescent="0.25">
      <c r="A712" s="19" t="s">
        <v>880</v>
      </c>
      <c r="B712" s="218" t="s">
        <v>453</v>
      </c>
      <c r="C712" s="218" t="s">
        <v>81</v>
      </c>
      <c r="D712" s="217" t="s">
        <v>96</v>
      </c>
      <c r="E712" s="217" t="s">
        <v>91</v>
      </c>
      <c r="F712" s="299">
        <v>902</v>
      </c>
      <c r="G712" s="344">
        <f>G711</f>
        <v>0</v>
      </c>
      <c r="H712" s="344">
        <f>H711</f>
        <v>0</v>
      </c>
      <c r="I712" s="102" t="e">
        <f t="shared" si="54"/>
        <v>#DIV/0!</v>
      </c>
      <c r="J712" s="125"/>
      <c r="K712" s="125"/>
      <c r="L712" s="125"/>
      <c r="M712" s="125"/>
      <c r="N712" s="125"/>
    </row>
    <row r="713" spans="1:14" s="131" customFormat="1" ht="15.75" hidden="1" x14ac:dyDescent="0.25">
      <c r="A713" s="19" t="s">
        <v>184</v>
      </c>
      <c r="B713" s="218" t="s">
        <v>372</v>
      </c>
      <c r="C713" s="218" t="s">
        <v>129</v>
      </c>
      <c r="D713" s="217"/>
      <c r="E713" s="217"/>
      <c r="F713" s="299"/>
      <c r="G713" s="344">
        <f t="shared" ref="G713:H716" si="60">G714</f>
        <v>0</v>
      </c>
      <c r="H713" s="344">
        <f t="shared" si="60"/>
        <v>0</v>
      </c>
      <c r="I713" s="102" t="e">
        <f t="shared" si="54"/>
        <v>#DIV/0!</v>
      </c>
      <c r="J713" s="125"/>
      <c r="K713" s="125"/>
      <c r="L713" s="125"/>
      <c r="M713" s="125"/>
      <c r="N713" s="125"/>
    </row>
    <row r="714" spans="1:14" s="131" customFormat="1" ht="31.5" hidden="1" x14ac:dyDescent="0.25">
      <c r="A714" s="215" t="s">
        <v>224</v>
      </c>
      <c r="B714" s="218" t="s">
        <v>372</v>
      </c>
      <c r="C714" s="218" t="s">
        <v>129</v>
      </c>
      <c r="D714" s="217" t="s">
        <v>129</v>
      </c>
      <c r="E714" s="217"/>
      <c r="F714" s="299"/>
      <c r="G714" s="344">
        <f t="shared" si="60"/>
        <v>0</v>
      </c>
      <c r="H714" s="344">
        <f t="shared" si="60"/>
        <v>0</v>
      </c>
      <c r="I714" s="102" t="e">
        <f t="shared" si="54"/>
        <v>#DIV/0!</v>
      </c>
      <c r="J714" s="125"/>
      <c r="K714" s="125"/>
      <c r="L714" s="125"/>
      <c r="M714" s="125"/>
      <c r="N714" s="125"/>
    </row>
    <row r="715" spans="1:14" s="131" customFormat="1" ht="47.25" hidden="1" x14ac:dyDescent="0.25">
      <c r="A715" s="20" t="s">
        <v>493</v>
      </c>
      <c r="B715" s="218" t="s">
        <v>453</v>
      </c>
      <c r="C715" s="218" t="s">
        <v>129</v>
      </c>
      <c r="D715" s="217" t="s">
        <v>129</v>
      </c>
      <c r="E715" s="217"/>
      <c r="F715" s="299"/>
      <c r="G715" s="344">
        <f t="shared" si="60"/>
        <v>0</v>
      </c>
      <c r="H715" s="344">
        <f t="shared" si="60"/>
        <v>0</v>
      </c>
      <c r="I715" s="102" t="e">
        <f t="shared" si="54"/>
        <v>#DIV/0!</v>
      </c>
      <c r="J715" s="125"/>
      <c r="K715" s="125"/>
      <c r="L715" s="125"/>
      <c r="M715" s="125"/>
      <c r="N715" s="125"/>
    </row>
    <row r="716" spans="1:14" s="131" customFormat="1" ht="31.5" hidden="1" x14ac:dyDescent="0.25">
      <c r="A716" s="215" t="s">
        <v>88</v>
      </c>
      <c r="B716" s="218" t="s">
        <v>453</v>
      </c>
      <c r="C716" s="218" t="s">
        <v>129</v>
      </c>
      <c r="D716" s="217" t="s">
        <v>129</v>
      </c>
      <c r="E716" s="218" t="s">
        <v>89</v>
      </c>
      <c r="F716" s="299"/>
      <c r="G716" s="344">
        <f t="shared" si="60"/>
        <v>0</v>
      </c>
      <c r="H716" s="344">
        <f t="shared" si="60"/>
        <v>0</v>
      </c>
      <c r="I716" s="102" t="e">
        <f t="shared" si="54"/>
        <v>#DIV/0!</v>
      </c>
      <c r="J716" s="125"/>
      <c r="K716" s="125"/>
      <c r="L716" s="125"/>
      <c r="M716" s="125"/>
      <c r="N716" s="125"/>
    </row>
    <row r="717" spans="1:14" s="131" customFormat="1" ht="47.25" hidden="1" x14ac:dyDescent="0.25">
      <c r="A717" s="215" t="s">
        <v>90</v>
      </c>
      <c r="B717" s="218" t="s">
        <v>453</v>
      </c>
      <c r="C717" s="218" t="s">
        <v>129</v>
      </c>
      <c r="D717" s="217" t="s">
        <v>129</v>
      </c>
      <c r="E717" s="218" t="s">
        <v>91</v>
      </c>
      <c r="F717" s="299"/>
      <c r="G717" s="344">
        <f>'Пр.4 Ведом23'!G1365</f>
        <v>0</v>
      </c>
      <c r="H717" s="344">
        <f>'Пр.4 Ведом23'!H1365</f>
        <v>0</v>
      </c>
      <c r="I717" s="102" t="e">
        <f t="shared" si="54"/>
        <v>#DIV/0!</v>
      </c>
      <c r="J717" s="125"/>
      <c r="K717" s="125"/>
      <c r="L717" s="125"/>
      <c r="M717" s="125"/>
      <c r="N717" s="125"/>
    </row>
    <row r="718" spans="1:14" s="131" customFormat="1" ht="47.25" hidden="1" x14ac:dyDescent="0.25">
      <c r="A718" s="26" t="s">
        <v>877</v>
      </c>
      <c r="B718" s="218" t="s">
        <v>453</v>
      </c>
      <c r="C718" s="218" t="s">
        <v>129</v>
      </c>
      <c r="D718" s="217" t="s">
        <v>129</v>
      </c>
      <c r="E718" s="217" t="s">
        <v>91</v>
      </c>
      <c r="F718" s="299">
        <v>908</v>
      </c>
      <c r="G718" s="344">
        <f>G717</f>
        <v>0</v>
      </c>
      <c r="H718" s="344">
        <f>H717</f>
        <v>0</v>
      </c>
      <c r="I718" s="102" t="e">
        <f t="shared" si="54"/>
        <v>#DIV/0!</v>
      </c>
      <c r="J718" s="125"/>
      <c r="K718" s="125"/>
      <c r="L718" s="125"/>
      <c r="M718" s="125"/>
      <c r="N718" s="125"/>
    </row>
    <row r="719" spans="1:14" s="59" customFormat="1" ht="15.75" x14ac:dyDescent="0.25">
      <c r="A719" s="215" t="s">
        <v>144</v>
      </c>
      <c r="B719" s="218" t="s">
        <v>372</v>
      </c>
      <c r="C719" s="218" t="s">
        <v>145</v>
      </c>
      <c r="D719" s="217"/>
      <c r="E719" s="217"/>
      <c r="F719" s="299"/>
      <c r="G719" s="344">
        <f>G720+G725+G730</f>
        <v>124.94</v>
      </c>
      <c r="H719" s="344">
        <f>H720+H725+H730</f>
        <v>124.937</v>
      </c>
      <c r="I719" s="102">
        <f t="shared" si="54"/>
        <v>99.997598847446781</v>
      </c>
      <c r="J719" s="125"/>
      <c r="K719" s="125"/>
      <c r="L719" s="125"/>
      <c r="M719" s="125"/>
      <c r="N719" s="125"/>
    </row>
    <row r="720" spans="1:14" s="59" customFormat="1" ht="15.75" x14ac:dyDescent="0.25">
      <c r="A720" s="215" t="s">
        <v>188</v>
      </c>
      <c r="B720" s="218" t="s">
        <v>372</v>
      </c>
      <c r="C720" s="218" t="s">
        <v>145</v>
      </c>
      <c r="D720" s="217" t="s">
        <v>81</v>
      </c>
      <c r="E720" s="217"/>
      <c r="F720" s="299"/>
      <c r="G720" s="344">
        <f t="shared" ref="G720:H722" si="61">G721</f>
        <v>25</v>
      </c>
      <c r="H720" s="344">
        <f t="shared" si="61"/>
        <v>24.997</v>
      </c>
      <c r="I720" s="102">
        <f t="shared" si="54"/>
        <v>99.988</v>
      </c>
      <c r="J720" s="125"/>
      <c r="K720" s="125"/>
      <c r="L720" s="125"/>
      <c r="M720" s="125"/>
      <c r="N720" s="125"/>
    </row>
    <row r="721" spans="1:14" s="59" customFormat="1" ht="47.25" x14ac:dyDescent="0.25">
      <c r="A721" s="20" t="s">
        <v>494</v>
      </c>
      <c r="B721" s="218" t="s">
        <v>373</v>
      </c>
      <c r="C721" s="218" t="s">
        <v>145</v>
      </c>
      <c r="D721" s="217" t="s">
        <v>81</v>
      </c>
      <c r="E721" s="217"/>
      <c r="F721" s="299"/>
      <c r="G721" s="344">
        <f t="shared" si="61"/>
        <v>25</v>
      </c>
      <c r="H721" s="344">
        <f t="shared" si="61"/>
        <v>24.997</v>
      </c>
      <c r="I721" s="102">
        <f t="shared" ref="I721:I784" si="62">H721/G721*100</f>
        <v>99.988</v>
      </c>
      <c r="J721" s="125"/>
      <c r="K721" s="125"/>
      <c r="L721" s="125"/>
      <c r="M721" s="125"/>
      <c r="N721" s="125"/>
    </row>
    <row r="722" spans="1:14" s="59" customFormat="1" ht="47.25" x14ac:dyDescent="0.25">
      <c r="A722" s="20" t="s">
        <v>149</v>
      </c>
      <c r="B722" s="218" t="s">
        <v>373</v>
      </c>
      <c r="C722" s="218" t="s">
        <v>145</v>
      </c>
      <c r="D722" s="217" t="s">
        <v>81</v>
      </c>
      <c r="E722" s="218" t="s">
        <v>150</v>
      </c>
      <c r="F722" s="299"/>
      <c r="G722" s="344">
        <f t="shared" si="61"/>
        <v>25</v>
      </c>
      <c r="H722" s="344">
        <f t="shared" si="61"/>
        <v>24.997</v>
      </c>
      <c r="I722" s="102">
        <f t="shared" si="62"/>
        <v>99.988</v>
      </c>
      <c r="J722" s="125"/>
      <c r="K722" s="125"/>
      <c r="L722" s="125"/>
      <c r="M722" s="125"/>
      <c r="N722" s="125"/>
    </row>
    <row r="723" spans="1:14" s="59" customFormat="1" ht="15.75" x14ac:dyDescent="0.25">
      <c r="A723" s="20" t="s">
        <v>151</v>
      </c>
      <c r="B723" s="218" t="s">
        <v>373</v>
      </c>
      <c r="C723" s="218" t="s">
        <v>145</v>
      </c>
      <c r="D723" s="217" t="s">
        <v>81</v>
      </c>
      <c r="E723" s="218" t="s">
        <v>152</v>
      </c>
      <c r="F723" s="299"/>
      <c r="G723" s="344">
        <f>'Пр.4 Ведом23'!G765</f>
        <v>25</v>
      </c>
      <c r="H723" s="344">
        <f>'Пр.4 Ведом23'!H765</f>
        <v>24.997</v>
      </c>
      <c r="I723" s="102">
        <f t="shared" si="62"/>
        <v>99.988</v>
      </c>
      <c r="J723" s="125"/>
      <c r="K723" s="125"/>
      <c r="L723" s="125"/>
      <c r="M723" s="125"/>
      <c r="N723" s="125"/>
    </row>
    <row r="724" spans="1:14" s="59" customFormat="1" ht="31.5" x14ac:dyDescent="0.25">
      <c r="A724" s="68" t="s">
        <v>878</v>
      </c>
      <c r="B724" s="218" t="s">
        <v>373</v>
      </c>
      <c r="C724" s="218" t="s">
        <v>145</v>
      </c>
      <c r="D724" s="217" t="s">
        <v>81</v>
      </c>
      <c r="E724" s="218" t="s">
        <v>152</v>
      </c>
      <c r="F724" s="299">
        <v>906</v>
      </c>
      <c r="G724" s="344">
        <f>G723</f>
        <v>25</v>
      </c>
      <c r="H724" s="344">
        <f>H723</f>
        <v>24.997</v>
      </c>
      <c r="I724" s="102">
        <f t="shared" si="62"/>
        <v>99.988</v>
      </c>
      <c r="J724" s="125"/>
      <c r="K724" s="125"/>
      <c r="L724" s="125"/>
      <c r="M724" s="125"/>
      <c r="N724" s="125"/>
    </row>
    <row r="725" spans="1:14" s="59" customFormat="1" ht="15.75" x14ac:dyDescent="0.25">
      <c r="A725" s="20" t="s">
        <v>190</v>
      </c>
      <c r="B725" s="218" t="s">
        <v>372</v>
      </c>
      <c r="C725" s="218" t="s">
        <v>145</v>
      </c>
      <c r="D725" s="217" t="s">
        <v>119</v>
      </c>
      <c r="E725" s="217"/>
      <c r="F725" s="299"/>
      <c r="G725" s="344">
        <f t="shared" ref="G725:H727" si="63">G726</f>
        <v>40</v>
      </c>
      <c r="H725" s="344">
        <f t="shared" si="63"/>
        <v>40</v>
      </c>
      <c r="I725" s="102">
        <f t="shared" si="62"/>
        <v>100</v>
      </c>
      <c r="J725" s="125"/>
      <c r="K725" s="125"/>
      <c r="L725" s="125"/>
      <c r="M725" s="125"/>
      <c r="N725" s="125"/>
    </row>
    <row r="726" spans="1:14" s="59" customFormat="1" ht="47.25" x14ac:dyDescent="0.25">
      <c r="A726" s="20" t="s">
        <v>494</v>
      </c>
      <c r="B726" s="218" t="s">
        <v>373</v>
      </c>
      <c r="C726" s="218" t="s">
        <v>145</v>
      </c>
      <c r="D726" s="217" t="s">
        <v>119</v>
      </c>
      <c r="E726" s="217"/>
      <c r="F726" s="299"/>
      <c r="G726" s="344">
        <f t="shared" si="63"/>
        <v>40</v>
      </c>
      <c r="H726" s="344">
        <f t="shared" si="63"/>
        <v>40</v>
      </c>
      <c r="I726" s="102">
        <f t="shared" si="62"/>
        <v>100</v>
      </c>
      <c r="J726" s="125"/>
      <c r="K726" s="125"/>
      <c r="L726" s="125"/>
      <c r="M726" s="125"/>
      <c r="N726" s="125"/>
    </row>
    <row r="727" spans="1:14" s="59" customFormat="1" ht="47.25" x14ac:dyDescent="0.25">
      <c r="A727" s="20" t="s">
        <v>149</v>
      </c>
      <c r="B727" s="218" t="s">
        <v>373</v>
      </c>
      <c r="C727" s="218" t="s">
        <v>145</v>
      </c>
      <c r="D727" s="217" t="s">
        <v>119</v>
      </c>
      <c r="E727" s="218" t="s">
        <v>150</v>
      </c>
      <c r="F727" s="299"/>
      <c r="G727" s="344">
        <f t="shared" si="63"/>
        <v>40</v>
      </c>
      <c r="H727" s="344">
        <f t="shared" si="63"/>
        <v>40</v>
      </c>
      <c r="I727" s="102">
        <f t="shared" si="62"/>
        <v>100</v>
      </c>
      <c r="J727" s="125"/>
      <c r="K727" s="125"/>
      <c r="L727" s="125"/>
      <c r="M727" s="125"/>
      <c r="N727" s="125"/>
    </row>
    <row r="728" spans="1:14" s="59" customFormat="1" ht="15.75" x14ac:dyDescent="0.25">
      <c r="A728" s="20" t="s">
        <v>151</v>
      </c>
      <c r="B728" s="218" t="s">
        <v>373</v>
      </c>
      <c r="C728" s="218" t="s">
        <v>145</v>
      </c>
      <c r="D728" s="217" t="s">
        <v>119</v>
      </c>
      <c r="E728" s="218" t="s">
        <v>152</v>
      </c>
      <c r="F728" s="299"/>
      <c r="G728" s="344">
        <f>'Пр.4 Ведом23'!G838</f>
        <v>40</v>
      </c>
      <c r="H728" s="344">
        <f>'Пр.4 Ведом23'!H838</f>
        <v>40</v>
      </c>
      <c r="I728" s="102">
        <f t="shared" si="62"/>
        <v>100</v>
      </c>
      <c r="J728" s="125"/>
      <c r="K728" s="125"/>
      <c r="L728" s="125"/>
      <c r="M728" s="125"/>
      <c r="N728" s="125"/>
    </row>
    <row r="729" spans="1:14" s="59" customFormat="1" ht="31.5" x14ac:dyDescent="0.25">
      <c r="A729" s="68" t="s">
        <v>878</v>
      </c>
      <c r="B729" s="218" t="s">
        <v>373</v>
      </c>
      <c r="C729" s="218" t="s">
        <v>145</v>
      </c>
      <c r="D729" s="217" t="s">
        <v>119</v>
      </c>
      <c r="E729" s="218" t="s">
        <v>152</v>
      </c>
      <c r="F729" s="299">
        <v>906</v>
      </c>
      <c r="G729" s="344">
        <f>G728</f>
        <v>40</v>
      </c>
      <c r="H729" s="344">
        <f>H728</f>
        <v>40</v>
      </c>
      <c r="I729" s="102">
        <f t="shared" si="62"/>
        <v>100</v>
      </c>
      <c r="J729" s="125"/>
      <c r="K729" s="125"/>
      <c r="L729" s="125"/>
      <c r="M729" s="125"/>
      <c r="N729" s="125"/>
    </row>
    <row r="730" spans="1:14" s="59" customFormat="1" ht="15.75" x14ac:dyDescent="0.25">
      <c r="A730" s="215" t="s">
        <v>146</v>
      </c>
      <c r="B730" s="218" t="s">
        <v>372</v>
      </c>
      <c r="C730" s="218" t="s">
        <v>145</v>
      </c>
      <c r="D730" s="217" t="s">
        <v>120</v>
      </c>
      <c r="E730" s="37"/>
      <c r="F730" s="300"/>
      <c r="G730" s="344">
        <f t="shared" ref="G730:H732" si="64">G731</f>
        <v>59.94</v>
      </c>
      <c r="H730" s="344">
        <f t="shared" si="64"/>
        <v>59.94</v>
      </c>
      <c r="I730" s="102">
        <f t="shared" si="62"/>
        <v>100</v>
      </c>
      <c r="J730" s="125"/>
      <c r="K730" s="125"/>
      <c r="L730" s="125"/>
      <c r="M730" s="125"/>
      <c r="N730" s="125"/>
    </row>
    <row r="731" spans="1:14" s="75" customFormat="1" ht="47.25" x14ac:dyDescent="0.25">
      <c r="A731" s="20" t="s">
        <v>493</v>
      </c>
      <c r="B731" s="218" t="s">
        <v>453</v>
      </c>
      <c r="C731" s="218" t="s">
        <v>145</v>
      </c>
      <c r="D731" s="217" t="s">
        <v>120</v>
      </c>
      <c r="E731" s="38"/>
      <c r="F731" s="299"/>
      <c r="G731" s="344">
        <f t="shared" si="64"/>
        <v>59.94</v>
      </c>
      <c r="H731" s="344">
        <f t="shared" si="64"/>
        <v>59.94</v>
      </c>
      <c r="I731" s="102">
        <f t="shared" si="62"/>
        <v>100</v>
      </c>
      <c r="J731" s="125"/>
      <c r="K731" s="125"/>
      <c r="L731" s="125"/>
      <c r="M731" s="125"/>
      <c r="N731" s="125"/>
    </row>
    <row r="732" spans="1:14" s="75" customFormat="1" ht="31.5" x14ac:dyDescent="0.25">
      <c r="A732" s="215" t="s">
        <v>88</v>
      </c>
      <c r="B732" s="218" t="s">
        <v>453</v>
      </c>
      <c r="C732" s="218" t="s">
        <v>145</v>
      </c>
      <c r="D732" s="217" t="s">
        <v>120</v>
      </c>
      <c r="E732" s="218" t="s">
        <v>89</v>
      </c>
      <c r="F732" s="299"/>
      <c r="G732" s="344">
        <f t="shared" si="64"/>
        <v>59.94</v>
      </c>
      <c r="H732" s="344">
        <f t="shared" si="64"/>
        <v>59.94</v>
      </c>
      <c r="I732" s="102">
        <f t="shared" si="62"/>
        <v>100</v>
      </c>
      <c r="J732" s="125"/>
      <c r="K732" s="125"/>
      <c r="L732" s="125"/>
      <c r="M732" s="125"/>
      <c r="N732" s="125"/>
    </row>
    <row r="733" spans="1:14" s="75" customFormat="1" ht="47.25" x14ac:dyDescent="0.25">
      <c r="A733" s="215" t="s">
        <v>90</v>
      </c>
      <c r="B733" s="218" t="s">
        <v>453</v>
      </c>
      <c r="C733" s="218" t="s">
        <v>145</v>
      </c>
      <c r="D733" s="217" t="s">
        <v>120</v>
      </c>
      <c r="E733" s="218" t="s">
        <v>91</v>
      </c>
      <c r="F733" s="299"/>
      <c r="G733" s="344">
        <f>'Пр.4 Ведом23'!G402</f>
        <v>59.94</v>
      </c>
      <c r="H733" s="344">
        <f>'Пр.4 Ведом23'!H402</f>
        <v>59.94</v>
      </c>
      <c r="I733" s="102">
        <f t="shared" si="62"/>
        <v>100</v>
      </c>
      <c r="J733" s="125"/>
      <c r="K733" s="125"/>
      <c r="L733" s="125"/>
      <c r="M733" s="125"/>
      <c r="N733" s="125"/>
    </row>
    <row r="734" spans="1:14" s="75" customFormat="1" ht="47.25" x14ac:dyDescent="0.25">
      <c r="A734" s="215" t="s">
        <v>876</v>
      </c>
      <c r="B734" s="218" t="s">
        <v>453</v>
      </c>
      <c r="C734" s="218" t="s">
        <v>145</v>
      </c>
      <c r="D734" s="217" t="s">
        <v>120</v>
      </c>
      <c r="E734" s="218" t="s">
        <v>91</v>
      </c>
      <c r="F734" s="299">
        <v>903</v>
      </c>
      <c r="G734" s="344">
        <f>G733</f>
        <v>59.94</v>
      </c>
      <c r="H734" s="344">
        <f>H733</f>
        <v>59.94</v>
      </c>
      <c r="I734" s="102">
        <f t="shared" si="62"/>
        <v>100</v>
      </c>
      <c r="J734" s="125"/>
      <c r="K734" s="125"/>
      <c r="L734" s="125"/>
      <c r="M734" s="125"/>
      <c r="N734" s="125"/>
    </row>
    <row r="735" spans="1:14" s="59" customFormat="1" ht="15.75" x14ac:dyDescent="0.25">
      <c r="A735" s="40" t="s">
        <v>158</v>
      </c>
      <c r="B735" s="218" t="s">
        <v>372</v>
      </c>
      <c r="C735" s="218" t="s">
        <v>159</v>
      </c>
      <c r="D735" s="217"/>
      <c r="E735" s="217"/>
      <c r="F735" s="299"/>
      <c r="G735" s="344">
        <f>G736+G745</f>
        <v>4</v>
      </c>
      <c r="H735" s="344">
        <f>H736+H745</f>
        <v>4</v>
      </c>
      <c r="I735" s="102">
        <f t="shared" si="62"/>
        <v>100</v>
      </c>
      <c r="J735" s="125"/>
      <c r="K735" s="125"/>
      <c r="L735" s="125"/>
      <c r="M735" s="125"/>
      <c r="N735" s="125"/>
    </row>
    <row r="736" spans="1:14" s="59" customFormat="1" ht="15.75" hidden="1" x14ac:dyDescent="0.25">
      <c r="A736" s="40" t="s">
        <v>160</v>
      </c>
      <c r="B736" s="218" t="s">
        <v>372</v>
      </c>
      <c r="C736" s="218" t="s">
        <v>159</v>
      </c>
      <c r="D736" s="217" t="s">
        <v>81</v>
      </c>
      <c r="E736" s="217"/>
      <c r="F736" s="299"/>
      <c r="G736" s="342">
        <f t="shared" ref="G736:H738" si="65">G737</f>
        <v>0</v>
      </c>
      <c r="H736" s="565">
        <f t="shared" si="65"/>
        <v>0</v>
      </c>
      <c r="I736" s="102" t="e">
        <f t="shared" si="62"/>
        <v>#DIV/0!</v>
      </c>
      <c r="J736" s="125"/>
      <c r="K736" s="125"/>
      <c r="L736" s="125"/>
      <c r="M736" s="125"/>
      <c r="N736" s="125"/>
    </row>
    <row r="737" spans="1:14" ht="47.25" hidden="1" x14ac:dyDescent="0.25">
      <c r="A737" s="20" t="s">
        <v>493</v>
      </c>
      <c r="B737" s="218" t="s">
        <v>453</v>
      </c>
      <c r="C737" s="218" t="s">
        <v>159</v>
      </c>
      <c r="D737" s="217" t="s">
        <v>81</v>
      </c>
      <c r="E737" s="217"/>
      <c r="F737" s="299"/>
      <c r="G737" s="342">
        <f t="shared" si="65"/>
        <v>0</v>
      </c>
      <c r="H737" s="565">
        <f t="shared" si="65"/>
        <v>0</v>
      </c>
      <c r="I737" s="102" t="e">
        <f t="shared" si="62"/>
        <v>#DIV/0!</v>
      </c>
    </row>
    <row r="738" spans="1:14" ht="31.5" hidden="1" x14ac:dyDescent="0.25">
      <c r="A738" s="215" t="s">
        <v>88</v>
      </c>
      <c r="B738" s="218" t="s">
        <v>453</v>
      </c>
      <c r="C738" s="218" t="s">
        <v>159</v>
      </c>
      <c r="D738" s="217" t="s">
        <v>81</v>
      </c>
      <c r="E738" s="218" t="s">
        <v>89</v>
      </c>
      <c r="F738" s="299"/>
      <c r="G738" s="342">
        <f t="shared" si="65"/>
        <v>0</v>
      </c>
      <c r="H738" s="565">
        <f t="shared" si="65"/>
        <v>0</v>
      </c>
      <c r="I738" s="102" t="e">
        <f t="shared" si="62"/>
        <v>#DIV/0!</v>
      </c>
    </row>
    <row r="739" spans="1:14" ht="47.25" hidden="1" x14ac:dyDescent="0.25">
      <c r="A739" s="215" t="s">
        <v>90</v>
      </c>
      <c r="B739" s="218" t="s">
        <v>453</v>
      </c>
      <c r="C739" s="218" t="s">
        <v>159</v>
      </c>
      <c r="D739" s="217" t="s">
        <v>81</v>
      </c>
      <c r="E739" s="218" t="s">
        <v>91</v>
      </c>
      <c r="F739" s="299"/>
      <c r="G739" s="342">
        <f>'Пр.4 Ведом23'!G523</f>
        <v>0</v>
      </c>
      <c r="H739" s="565">
        <f>'Пр.4 Ведом23'!H523</f>
        <v>0</v>
      </c>
      <c r="I739" s="102" t="e">
        <f t="shared" si="62"/>
        <v>#DIV/0!</v>
      </c>
    </row>
    <row r="740" spans="1:14" s="131" customFormat="1" ht="47.25" hidden="1" x14ac:dyDescent="0.25">
      <c r="A740" s="215" t="s">
        <v>876</v>
      </c>
      <c r="B740" s="218" t="s">
        <v>453</v>
      </c>
      <c r="C740" s="218" t="s">
        <v>159</v>
      </c>
      <c r="D740" s="217" t="s">
        <v>81</v>
      </c>
      <c r="E740" s="218" t="s">
        <v>91</v>
      </c>
      <c r="F740" s="299">
        <v>903</v>
      </c>
      <c r="G740" s="342">
        <f>G739</f>
        <v>0</v>
      </c>
      <c r="H740" s="565">
        <f>H739</f>
        <v>0</v>
      </c>
      <c r="I740" s="102" t="e">
        <f t="shared" si="62"/>
        <v>#DIV/0!</v>
      </c>
      <c r="J740" s="125"/>
      <c r="K740" s="125"/>
      <c r="L740" s="125"/>
      <c r="M740" s="125"/>
      <c r="N740" s="125"/>
    </row>
    <row r="741" spans="1:14" ht="47.25" hidden="1" x14ac:dyDescent="0.25">
      <c r="A741" s="215" t="s">
        <v>436</v>
      </c>
      <c r="B741" s="218" t="s">
        <v>373</v>
      </c>
      <c r="C741" s="218" t="s">
        <v>159</v>
      </c>
      <c r="D741" s="217" t="s">
        <v>81</v>
      </c>
      <c r="E741" s="218"/>
      <c r="F741" s="299"/>
      <c r="G741" s="342">
        <f>G742</f>
        <v>0</v>
      </c>
      <c r="H741" s="565">
        <f>H742</f>
        <v>0</v>
      </c>
      <c r="I741" s="102" t="e">
        <f t="shared" si="62"/>
        <v>#DIV/0!</v>
      </c>
    </row>
    <row r="742" spans="1:14" ht="35.450000000000003" hidden="1" customHeight="1" x14ac:dyDescent="0.25">
      <c r="A742" s="215" t="s">
        <v>149</v>
      </c>
      <c r="B742" s="218" t="s">
        <v>373</v>
      </c>
      <c r="C742" s="218" t="s">
        <v>159</v>
      </c>
      <c r="D742" s="217" t="s">
        <v>81</v>
      </c>
      <c r="E742" s="218" t="s">
        <v>150</v>
      </c>
      <c r="F742" s="299"/>
      <c r="G742" s="342">
        <f>G743</f>
        <v>0</v>
      </c>
      <c r="H742" s="565">
        <f>H743</f>
        <v>0</v>
      </c>
      <c r="I742" s="102" t="e">
        <f t="shared" si="62"/>
        <v>#DIV/0!</v>
      </c>
    </row>
    <row r="743" spans="1:14" s="75" customFormat="1" ht="22.15" hidden="1" customHeight="1" x14ac:dyDescent="0.25">
      <c r="A743" s="215" t="s">
        <v>151</v>
      </c>
      <c r="B743" s="218" t="s">
        <v>373</v>
      </c>
      <c r="C743" s="218" t="s">
        <v>159</v>
      </c>
      <c r="D743" s="217" t="s">
        <v>81</v>
      </c>
      <c r="E743" s="218" t="s">
        <v>152</v>
      </c>
      <c r="F743" s="299"/>
      <c r="G743" s="344">
        <f>'Пр.4 Ведом23'!G526</f>
        <v>0</v>
      </c>
      <c r="H743" s="344">
        <f>'Пр.4 Ведом23'!H526</f>
        <v>0</v>
      </c>
      <c r="I743" s="102" t="e">
        <f t="shared" si="62"/>
        <v>#DIV/0!</v>
      </c>
      <c r="J743" s="125"/>
      <c r="K743" s="125"/>
      <c r="L743" s="125"/>
      <c r="M743" s="125"/>
      <c r="N743" s="125"/>
    </row>
    <row r="744" spans="1:14" s="131" customFormat="1" ht="49.15" hidden="1" customHeight="1" x14ac:dyDescent="0.25">
      <c r="A744" s="215" t="s">
        <v>876</v>
      </c>
      <c r="B744" s="218" t="s">
        <v>373</v>
      </c>
      <c r="C744" s="218" t="s">
        <v>159</v>
      </c>
      <c r="D744" s="217" t="s">
        <v>81</v>
      </c>
      <c r="E744" s="218" t="s">
        <v>152</v>
      </c>
      <c r="F744" s="299">
        <v>903</v>
      </c>
      <c r="G744" s="344">
        <f>G743</f>
        <v>0</v>
      </c>
      <c r="H744" s="344">
        <f>H743</f>
        <v>0</v>
      </c>
      <c r="I744" s="102" t="e">
        <f t="shared" si="62"/>
        <v>#DIV/0!</v>
      </c>
      <c r="J744" s="125"/>
      <c r="K744" s="125"/>
      <c r="L744" s="125"/>
      <c r="M744" s="125"/>
      <c r="N744" s="125"/>
    </row>
    <row r="745" spans="1:14" s="59" customFormat="1" ht="31.5" x14ac:dyDescent="0.25">
      <c r="A745" s="215" t="s">
        <v>164</v>
      </c>
      <c r="B745" s="218" t="s">
        <v>372</v>
      </c>
      <c r="C745" s="218" t="s">
        <v>159</v>
      </c>
      <c r="D745" s="217" t="s">
        <v>103</v>
      </c>
      <c r="E745" s="217"/>
      <c r="F745" s="299"/>
      <c r="G745" s="342">
        <f t="shared" ref="G745:H747" si="66">G746</f>
        <v>4</v>
      </c>
      <c r="H745" s="565">
        <f t="shared" si="66"/>
        <v>4</v>
      </c>
      <c r="I745" s="102">
        <f t="shared" si="62"/>
        <v>100</v>
      </c>
      <c r="J745" s="125"/>
      <c r="K745" s="125"/>
      <c r="L745" s="125"/>
      <c r="M745" s="125"/>
      <c r="N745" s="125"/>
    </row>
    <row r="746" spans="1:14" ht="47.25" x14ac:dyDescent="0.25">
      <c r="A746" s="20" t="s">
        <v>493</v>
      </c>
      <c r="B746" s="218" t="s">
        <v>453</v>
      </c>
      <c r="C746" s="218" t="s">
        <v>159</v>
      </c>
      <c r="D746" s="217" t="s">
        <v>103</v>
      </c>
      <c r="E746" s="217"/>
      <c r="F746" s="299"/>
      <c r="G746" s="344">
        <f t="shared" si="66"/>
        <v>4</v>
      </c>
      <c r="H746" s="344">
        <f t="shared" si="66"/>
        <v>4</v>
      </c>
      <c r="I746" s="102">
        <f t="shared" si="62"/>
        <v>100</v>
      </c>
    </row>
    <row r="747" spans="1:14" s="131" customFormat="1" ht="31.5" x14ac:dyDescent="0.25">
      <c r="A747" s="215" t="s">
        <v>88</v>
      </c>
      <c r="B747" s="218" t="s">
        <v>453</v>
      </c>
      <c r="C747" s="218" t="s">
        <v>159</v>
      </c>
      <c r="D747" s="217" t="s">
        <v>103</v>
      </c>
      <c r="E747" s="218" t="s">
        <v>89</v>
      </c>
      <c r="F747" s="299"/>
      <c r="G747" s="344">
        <f t="shared" si="66"/>
        <v>4</v>
      </c>
      <c r="H747" s="344">
        <f t="shared" si="66"/>
        <v>4</v>
      </c>
      <c r="I747" s="102">
        <f t="shared" si="62"/>
        <v>100</v>
      </c>
      <c r="J747" s="125"/>
      <c r="K747" s="125"/>
      <c r="L747" s="125"/>
      <c r="M747" s="125"/>
      <c r="N747" s="125"/>
    </row>
    <row r="748" spans="1:14" s="131" customFormat="1" ht="47.25" x14ac:dyDescent="0.25">
      <c r="A748" s="215" t="s">
        <v>90</v>
      </c>
      <c r="B748" s="218" t="s">
        <v>453</v>
      </c>
      <c r="C748" s="218" t="s">
        <v>159</v>
      </c>
      <c r="D748" s="217" t="s">
        <v>103</v>
      </c>
      <c r="E748" s="218" t="s">
        <v>91</v>
      </c>
      <c r="F748" s="299"/>
      <c r="G748" s="344">
        <f>'Пр.4 Ведом23'!G588</f>
        <v>4</v>
      </c>
      <c r="H748" s="344">
        <f>'Пр.4 Ведом23'!H588</f>
        <v>4</v>
      </c>
      <c r="I748" s="102">
        <f t="shared" si="62"/>
        <v>100</v>
      </c>
      <c r="J748" s="125"/>
      <c r="K748" s="125"/>
      <c r="L748" s="125"/>
      <c r="M748" s="125"/>
      <c r="N748" s="125"/>
    </row>
    <row r="749" spans="1:14" s="131" customFormat="1" ht="47.25" x14ac:dyDescent="0.25">
      <c r="A749" s="215" t="s">
        <v>876</v>
      </c>
      <c r="B749" s="218" t="s">
        <v>453</v>
      </c>
      <c r="C749" s="218" t="s">
        <v>159</v>
      </c>
      <c r="D749" s="217" t="s">
        <v>103</v>
      </c>
      <c r="E749" s="218" t="s">
        <v>91</v>
      </c>
      <c r="F749" s="299">
        <v>903</v>
      </c>
      <c r="G749" s="344">
        <f>G748</f>
        <v>4</v>
      </c>
      <c r="H749" s="344">
        <f>H748</f>
        <v>4</v>
      </c>
      <c r="I749" s="102">
        <f t="shared" si="62"/>
        <v>100</v>
      </c>
      <c r="J749" s="125"/>
      <c r="K749" s="125"/>
      <c r="L749" s="125"/>
      <c r="M749" s="125"/>
      <c r="N749" s="125"/>
    </row>
    <row r="750" spans="1:14" s="75" customFormat="1" ht="47.25" x14ac:dyDescent="0.25">
      <c r="A750" s="116" t="s">
        <v>892</v>
      </c>
      <c r="B750" s="117" t="s">
        <v>217</v>
      </c>
      <c r="C750" s="117"/>
      <c r="D750" s="217"/>
      <c r="E750" s="217"/>
      <c r="F750" s="299"/>
      <c r="G750" s="302">
        <f>G751+G788+G795+G809+G802</f>
        <v>14691.381159999999</v>
      </c>
      <c r="H750" s="567">
        <f>H751+H788+H795+H809+H802</f>
        <v>14691.36169</v>
      </c>
      <c r="I750" s="221">
        <f t="shared" si="62"/>
        <v>99.999867473317948</v>
      </c>
      <c r="J750" s="125"/>
      <c r="K750" s="125"/>
      <c r="L750" s="125"/>
      <c r="M750" s="125"/>
      <c r="N750" s="125"/>
    </row>
    <row r="751" spans="1:14" s="131" customFormat="1" ht="31.5" x14ac:dyDescent="0.25">
      <c r="A751" s="116" t="s">
        <v>662</v>
      </c>
      <c r="B751" s="117" t="s">
        <v>608</v>
      </c>
      <c r="C751" s="218"/>
      <c r="D751" s="217"/>
      <c r="E751" s="117"/>
      <c r="F751" s="299"/>
      <c r="G751" s="302">
        <f>G752</f>
        <v>2551.0283899999999</v>
      </c>
      <c r="H751" s="567">
        <f>H752</f>
        <v>2551.0251899999998</v>
      </c>
      <c r="I751" s="221">
        <f t="shared" si="62"/>
        <v>99.99987456039247</v>
      </c>
      <c r="J751" s="125"/>
      <c r="K751" s="125"/>
      <c r="L751" s="125"/>
      <c r="M751" s="125"/>
      <c r="N751" s="125"/>
    </row>
    <row r="752" spans="1:14" s="131" customFormat="1" ht="15.75" x14ac:dyDescent="0.25">
      <c r="A752" s="19" t="s">
        <v>184</v>
      </c>
      <c r="B752" s="218" t="s">
        <v>608</v>
      </c>
      <c r="C752" s="218" t="s">
        <v>129</v>
      </c>
      <c r="D752" s="217"/>
      <c r="E752" s="117"/>
      <c r="F752" s="299"/>
      <c r="G752" s="344">
        <f>G753</f>
        <v>2551.0283899999999</v>
      </c>
      <c r="H752" s="344">
        <f>H753</f>
        <v>2551.0251899999998</v>
      </c>
      <c r="I752" s="102">
        <f t="shared" si="62"/>
        <v>99.99987456039247</v>
      </c>
      <c r="J752" s="125"/>
      <c r="K752" s="125"/>
      <c r="L752" s="125"/>
      <c r="M752" s="125"/>
      <c r="N752" s="125"/>
    </row>
    <row r="753" spans="1:14" s="131" customFormat="1" ht="15.75" x14ac:dyDescent="0.25">
      <c r="A753" s="229" t="s">
        <v>893</v>
      </c>
      <c r="B753" s="218" t="s">
        <v>608</v>
      </c>
      <c r="C753" s="218" t="s">
        <v>129</v>
      </c>
      <c r="D753" s="217" t="s">
        <v>120</v>
      </c>
      <c r="E753" s="117"/>
      <c r="F753" s="299"/>
      <c r="G753" s="344">
        <f>G754+G758+G765+G769+G773+G780+G784</f>
        <v>2551.0283899999999</v>
      </c>
      <c r="H753" s="344">
        <f>H754+H758+H765+H769+H773+H780+H784</f>
        <v>2551.0251899999998</v>
      </c>
      <c r="I753" s="102">
        <f t="shared" si="62"/>
        <v>99.99987456039247</v>
      </c>
      <c r="J753" s="125"/>
      <c r="K753" s="125"/>
      <c r="L753" s="125"/>
      <c r="M753" s="125"/>
      <c r="N753" s="125"/>
    </row>
    <row r="754" spans="1:14" s="131" customFormat="1" ht="15.75" x14ac:dyDescent="0.25">
      <c r="A754" s="215" t="s">
        <v>218</v>
      </c>
      <c r="B754" s="218" t="s">
        <v>656</v>
      </c>
      <c r="C754" s="218" t="s">
        <v>129</v>
      </c>
      <c r="D754" s="217" t="s">
        <v>120</v>
      </c>
      <c r="E754" s="218"/>
      <c r="F754" s="299"/>
      <c r="G754" s="344">
        <f>G755</f>
        <v>664.75524999999993</v>
      </c>
      <c r="H754" s="344">
        <f>H755</f>
        <v>664.75525000000005</v>
      </c>
      <c r="I754" s="102">
        <f t="shared" si="62"/>
        <v>100.00000000000003</v>
      </c>
      <c r="J754" s="125"/>
      <c r="K754" s="125"/>
      <c r="L754" s="125"/>
      <c r="M754" s="125"/>
      <c r="N754" s="125"/>
    </row>
    <row r="755" spans="1:14" s="131" customFormat="1" ht="31.5" x14ac:dyDescent="0.25">
      <c r="A755" s="215" t="s">
        <v>88</v>
      </c>
      <c r="B755" s="218" t="s">
        <v>656</v>
      </c>
      <c r="C755" s="218" t="s">
        <v>129</v>
      </c>
      <c r="D755" s="217" t="s">
        <v>120</v>
      </c>
      <c r="E755" s="218" t="s">
        <v>89</v>
      </c>
      <c r="F755" s="299"/>
      <c r="G755" s="344">
        <f>G756</f>
        <v>664.75524999999993</v>
      </c>
      <c r="H755" s="344">
        <f>H756</f>
        <v>664.75525000000005</v>
      </c>
      <c r="I755" s="102">
        <f t="shared" si="62"/>
        <v>100.00000000000003</v>
      </c>
      <c r="J755" s="125"/>
      <c r="K755" s="125"/>
      <c r="L755" s="125"/>
      <c r="M755" s="125"/>
      <c r="N755" s="125"/>
    </row>
    <row r="756" spans="1:14" s="131" customFormat="1" ht="47.25" x14ac:dyDescent="0.25">
      <c r="A756" s="215" t="s">
        <v>90</v>
      </c>
      <c r="B756" s="218" t="s">
        <v>656</v>
      </c>
      <c r="C756" s="218" t="s">
        <v>129</v>
      </c>
      <c r="D756" s="217" t="s">
        <v>120</v>
      </c>
      <c r="E756" s="218" t="s">
        <v>91</v>
      </c>
      <c r="F756" s="299"/>
      <c r="G756" s="344">
        <f>'Пр.4 Ведом23'!G1254</f>
        <v>664.75524999999993</v>
      </c>
      <c r="H756" s="344">
        <f>'Пр.4 Ведом23'!H1254</f>
        <v>664.75525000000005</v>
      </c>
      <c r="I756" s="102">
        <f t="shared" si="62"/>
        <v>100.00000000000003</v>
      </c>
      <c r="J756" s="125"/>
      <c r="K756" s="125"/>
      <c r="L756" s="125"/>
      <c r="M756" s="125"/>
      <c r="N756" s="125"/>
    </row>
    <row r="757" spans="1:14" s="131" customFormat="1" ht="47.25" x14ac:dyDescent="0.25">
      <c r="A757" s="26" t="s">
        <v>877</v>
      </c>
      <c r="B757" s="218" t="s">
        <v>656</v>
      </c>
      <c r="C757" s="218" t="s">
        <v>129</v>
      </c>
      <c r="D757" s="217" t="s">
        <v>120</v>
      </c>
      <c r="E757" s="218" t="s">
        <v>91</v>
      </c>
      <c r="F757" s="299">
        <v>908</v>
      </c>
      <c r="G757" s="344">
        <f>G756</f>
        <v>664.75524999999993</v>
      </c>
      <c r="H757" s="344">
        <f>H756</f>
        <v>664.75525000000005</v>
      </c>
      <c r="I757" s="102">
        <f t="shared" si="62"/>
        <v>100.00000000000003</v>
      </c>
      <c r="J757" s="125"/>
      <c r="K757" s="125"/>
      <c r="L757" s="125"/>
      <c r="M757" s="125"/>
      <c r="N757" s="125"/>
    </row>
    <row r="758" spans="1:14" s="131" customFormat="1" ht="15.75" x14ac:dyDescent="0.25">
      <c r="A758" s="215" t="s">
        <v>496</v>
      </c>
      <c r="B758" s="218" t="s">
        <v>654</v>
      </c>
      <c r="C758" s="218" t="s">
        <v>129</v>
      </c>
      <c r="D758" s="217" t="s">
        <v>120</v>
      </c>
      <c r="E758" s="218"/>
      <c r="F758" s="299"/>
      <c r="G758" s="344">
        <f>G759</f>
        <v>1848.77314</v>
      </c>
      <c r="H758" s="344">
        <f>H759</f>
        <v>1848.7699399999999</v>
      </c>
      <c r="I758" s="102">
        <f t="shared" si="62"/>
        <v>99.999826912240835</v>
      </c>
      <c r="J758" s="125"/>
      <c r="K758" s="125"/>
      <c r="L758" s="125"/>
      <c r="M758" s="125"/>
      <c r="N758" s="125"/>
    </row>
    <row r="759" spans="1:14" s="131" customFormat="1" ht="31.5" x14ac:dyDescent="0.25">
      <c r="A759" s="215" t="s">
        <v>88</v>
      </c>
      <c r="B759" s="218" t="s">
        <v>654</v>
      </c>
      <c r="C759" s="218" t="s">
        <v>129</v>
      </c>
      <c r="D759" s="217" t="s">
        <v>120</v>
      </c>
      <c r="E759" s="218" t="s">
        <v>89</v>
      </c>
      <c r="F759" s="299"/>
      <c r="G759" s="344">
        <f>G760</f>
        <v>1848.77314</v>
      </c>
      <c r="H759" s="344">
        <f>H760</f>
        <v>1848.7699399999999</v>
      </c>
      <c r="I759" s="102">
        <f t="shared" si="62"/>
        <v>99.999826912240835</v>
      </c>
      <c r="J759" s="125"/>
      <c r="K759" s="125"/>
      <c r="L759" s="125"/>
      <c r="M759" s="125"/>
      <c r="N759" s="125"/>
    </row>
    <row r="760" spans="1:14" s="131" customFormat="1" ht="47.25" x14ac:dyDescent="0.25">
      <c r="A760" s="215" t="s">
        <v>90</v>
      </c>
      <c r="B760" s="218" t="s">
        <v>654</v>
      </c>
      <c r="C760" s="218" t="s">
        <v>129</v>
      </c>
      <c r="D760" s="217" t="s">
        <v>120</v>
      </c>
      <c r="E760" s="218" t="s">
        <v>91</v>
      </c>
      <c r="F760" s="299"/>
      <c r="G760" s="344">
        <f>'Пр.4 Ведом23'!G1257</f>
        <v>1848.77314</v>
      </c>
      <c r="H760" s="344">
        <f>'Пр.4 Ведом23'!H1257</f>
        <v>1848.7699399999999</v>
      </c>
      <c r="I760" s="102">
        <f t="shared" si="62"/>
        <v>99.999826912240835</v>
      </c>
      <c r="J760" s="125"/>
      <c r="K760" s="125"/>
      <c r="L760" s="125"/>
      <c r="M760" s="125"/>
      <c r="N760" s="125"/>
    </row>
    <row r="761" spans="1:14" s="131" customFormat="1" ht="47.25" x14ac:dyDescent="0.25">
      <c r="A761" s="26" t="s">
        <v>877</v>
      </c>
      <c r="B761" s="218" t="s">
        <v>654</v>
      </c>
      <c r="C761" s="218" t="s">
        <v>129</v>
      </c>
      <c r="D761" s="217" t="s">
        <v>120</v>
      </c>
      <c r="E761" s="218" t="s">
        <v>91</v>
      </c>
      <c r="F761" s="299">
        <v>908</v>
      </c>
      <c r="G761" s="344">
        <f>G760</f>
        <v>1848.77314</v>
      </c>
      <c r="H761" s="344">
        <f>H760</f>
        <v>1848.7699399999999</v>
      </c>
      <c r="I761" s="102">
        <f t="shared" si="62"/>
        <v>99.999826912240835</v>
      </c>
      <c r="J761" s="125"/>
      <c r="K761" s="125"/>
      <c r="L761" s="125"/>
      <c r="M761" s="125"/>
      <c r="N761" s="125"/>
    </row>
    <row r="762" spans="1:14" s="131" customFormat="1" ht="15.75" hidden="1" x14ac:dyDescent="0.25">
      <c r="A762" s="215" t="s">
        <v>92</v>
      </c>
      <c r="B762" s="218" t="s">
        <v>654</v>
      </c>
      <c r="C762" s="218" t="s">
        <v>129</v>
      </c>
      <c r="D762" s="217" t="s">
        <v>120</v>
      </c>
      <c r="E762" s="218" t="s">
        <v>98</v>
      </c>
      <c r="F762" s="299"/>
      <c r="G762" s="344">
        <f>G763</f>
        <v>0</v>
      </c>
      <c r="H762" s="344">
        <f>H763</f>
        <v>0</v>
      </c>
      <c r="I762" s="102" t="e">
        <f t="shared" si="62"/>
        <v>#DIV/0!</v>
      </c>
      <c r="J762" s="125"/>
      <c r="K762" s="125"/>
      <c r="L762" s="125"/>
      <c r="M762" s="125"/>
      <c r="N762" s="125"/>
    </row>
    <row r="763" spans="1:14" s="131" customFormat="1" ht="15.75" hidden="1" x14ac:dyDescent="0.25">
      <c r="A763" s="215" t="s">
        <v>258</v>
      </c>
      <c r="B763" s="218" t="s">
        <v>654</v>
      </c>
      <c r="C763" s="218" t="s">
        <v>129</v>
      </c>
      <c r="D763" s="217" t="s">
        <v>120</v>
      </c>
      <c r="E763" s="218" t="s">
        <v>94</v>
      </c>
      <c r="F763" s="299"/>
      <c r="G763" s="344">
        <f>'Пр.4 Ведом23'!G1260</f>
        <v>0</v>
      </c>
      <c r="H763" s="344">
        <f>'Пр.4 Ведом23'!H1260</f>
        <v>0</v>
      </c>
      <c r="I763" s="102" t="e">
        <f t="shared" si="62"/>
        <v>#DIV/0!</v>
      </c>
      <c r="J763" s="125"/>
      <c r="K763" s="125"/>
      <c r="L763" s="125"/>
      <c r="M763" s="125"/>
      <c r="N763" s="125"/>
    </row>
    <row r="764" spans="1:14" s="131" customFormat="1" ht="47.25" hidden="1" x14ac:dyDescent="0.25">
      <c r="A764" s="26" t="s">
        <v>877</v>
      </c>
      <c r="B764" s="218" t="s">
        <v>654</v>
      </c>
      <c r="C764" s="218" t="s">
        <v>129</v>
      </c>
      <c r="D764" s="217" t="s">
        <v>120</v>
      </c>
      <c r="E764" s="218" t="s">
        <v>94</v>
      </c>
      <c r="F764" s="299">
        <v>908</v>
      </c>
      <c r="G764" s="344">
        <f>G763</f>
        <v>0</v>
      </c>
      <c r="H764" s="344">
        <f>H763</f>
        <v>0</v>
      </c>
      <c r="I764" s="102" t="e">
        <f t="shared" si="62"/>
        <v>#DIV/0!</v>
      </c>
      <c r="J764" s="125"/>
      <c r="K764" s="125"/>
      <c r="L764" s="125"/>
      <c r="M764" s="125"/>
      <c r="N764" s="125"/>
    </row>
    <row r="765" spans="1:14" ht="15.75" hidden="1" x14ac:dyDescent="0.25">
      <c r="A765" s="215" t="s">
        <v>219</v>
      </c>
      <c r="B765" s="218" t="s">
        <v>620</v>
      </c>
      <c r="C765" s="218" t="s">
        <v>129</v>
      </c>
      <c r="D765" s="217" t="s">
        <v>120</v>
      </c>
      <c r="E765" s="218"/>
      <c r="F765" s="300"/>
      <c r="G765" s="344">
        <f>G766</f>
        <v>0</v>
      </c>
      <c r="H765" s="344">
        <f>H766</f>
        <v>0</v>
      </c>
      <c r="I765" s="102" t="e">
        <f t="shared" si="62"/>
        <v>#DIV/0!</v>
      </c>
      <c r="J765" s="125">
        <v>90406.34</v>
      </c>
      <c r="K765" s="234">
        <f>J765-G765</f>
        <v>90406.34</v>
      </c>
    </row>
    <row r="766" spans="1:14" s="75" customFormat="1" ht="38.25" hidden="1" customHeight="1" x14ac:dyDescent="0.25">
      <c r="A766" s="215" t="s">
        <v>88</v>
      </c>
      <c r="B766" s="218" t="s">
        <v>620</v>
      </c>
      <c r="C766" s="218" t="s">
        <v>129</v>
      </c>
      <c r="D766" s="217" t="s">
        <v>120</v>
      </c>
      <c r="E766" s="218" t="s">
        <v>89</v>
      </c>
      <c r="F766" s="300"/>
      <c r="G766" s="344">
        <f>G767</f>
        <v>0</v>
      </c>
      <c r="H766" s="344">
        <f>H767</f>
        <v>0</v>
      </c>
      <c r="I766" s="102" t="e">
        <f t="shared" si="62"/>
        <v>#DIV/0!</v>
      </c>
      <c r="J766" s="125"/>
      <c r="K766" s="125"/>
      <c r="L766" s="125"/>
      <c r="M766" s="125"/>
      <c r="N766" s="125"/>
    </row>
    <row r="767" spans="1:14" s="75" customFormat="1" ht="31.9" hidden="1" customHeight="1" x14ac:dyDescent="0.25">
      <c r="A767" s="215" t="s">
        <v>90</v>
      </c>
      <c r="B767" s="218" t="s">
        <v>620</v>
      </c>
      <c r="C767" s="218" t="s">
        <v>129</v>
      </c>
      <c r="D767" s="217" t="s">
        <v>120</v>
      </c>
      <c r="E767" s="218" t="s">
        <v>91</v>
      </c>
      <c r="F767" s="300"/>
      <c r="G767" s="344">
        <f>'Пр.4 Ведом23'!G1263</f>
        <v>0</v>
      </c>
      <c r="H767" s="344">
        <f>'Пр.4 Ведом23'!H1263</f>
        <v>0</v>
      </c>
      <c r="I767" s="102" t="e">
        <f t="shared" si="62"/>
        <v>#DIV/0!</v>
      </c>
      <c r="J767" s="233" t="e">
        <f>G767+G838+G904+#REF!</f>
        <v>#REF!</v>
      </c>
      <c r="K767" s="233">
        <v>16998.7</v>
      </c>
      <c r="L767" s="125"/>
      <c r="M767" s="125"/>
      <c r="N767" s="125"/>
    </row>
    <row r="768" spans="1:14" s="131" customFormat="1" ht="31.9" hidden="1" customHeight="1" x14ac:dyDescent="0.25">
      <c r="A768" s="26" t="s">
        <v>877</v>
      </c>
      <c r="B768" s="218" t="s">
        <v>620</v>
      </c>
      <c r="C768" s="218" t="s">
        <v>129</v>
      </c>
      <c r="D768" s="217" t="s">
        <v>120</v>
      </c>
      <c r="E768" s="218" t="s">
        <v>91</v>
      </c>
      <c r="F768" s="300">
        <v>908</v>
      </c>
      <c r="G768" s="344">
        <f>G767</f>
        <v>0</v>
      </c>
      <c r="H768" s="344">
        <f>H767</f>
        <v>0</v>
      </c>
      <c r="I768" s="102" t="e">
        <f t="shared" si="62"/>
        <v>#DIV/0!</v>
      </c>
      <c r="J768" s="233"/>
      <c r="K768" s="233"/>
      <c r="L768" s="125"/>
      <c r="M768" s="125"/>
      <c r="N768" s="125"/>
    </row>
    <row r="769" spans="1:14" s="75" customFormat="1" ht="19.5" hidden="1" customHeight="1" x14ac:dyDescent="0.25">
      <c r="A769" s="215" t="s">
        <v>220</v>
      </c>
      <c r="B769" s="218" t="s">
        <v>609</v>
      </c>
      <c r="C769" s="218" t="s">
        <v>129</v>
      </c>
      <c r="D769" s="217" t="s">
        <v>120</v>
      </c>
      <c r="E769" s="218"/>
      <c r="F769" s="300"/>
      <c r="G769" s="344">
        <f>G770</f>
        <v>0</v>
      </c>
      <c r="H769" s="344">
        <f>H770</f>
        <v>0</v>
      </c>
      <c r="I769" s="102" t="e">
        <f t="shared" si="62"/>
        <v>#DIV/0!</v>
      </c>
      <c r="J769" s="125"/>
      <c r="K769" s="125"/>
      <c r="L769" s="125"/>
      <c r="M769" s="125"/>
      <c r="N769" s="125"/>
    </row>
    <row r="770" spans="1:14" s="75" customFormat="1" ht="28.9" hidden="1" customHeight="1" x14ac:dyDescent="0.25">
      <c r="A770" s="215" t="s">
        <v>88</v>
      </c>
      <c r="B770" s="218" t="s">
        <v>609</v>
      </c>
      <c r="C770" s="218" t="s">
        <v>129</v>
      </c>
      <c r="D770" s="217" t="s">
        <v>120</v>
      </c>
      <c r="E770" s="218" t="s">
        <v>89</v>
      </c>
      <c r="F770" s="300"/>
      <c r="G770" s="344">
        <f>G771</f>
        <v>0</v>
      </c>
      <c r="H770" s="344">
        <f>H771</f>
        <v>0</v>
      </c>
      <c r="I770" s="102" t="e">
        <f t="shared" si="62"/>
        <v>#DIV/0!</v>
      </c>
      <c r="J770" s="125"/>
      <c r="K770" s="125"/>
      <c r="L770" s="125"/>
      <c r="M770" s="125"/>
      <c r="N770" s="125"/>
    </row>
    <row r="771" spans="1:14" s="75" customFormat="1" ht="47.25" hidden="1" x14ac:dyDescent="0.25">
      <c r="A771" s="215" t="s">
        <v>90</v>
      </c>
      <c r="B771" s="218" t="s">
        <v>609</v>
      </c>
      <c r="C771" s="218" t="s">
        <v>129</v>
      </c>
      <c r="D771" s="217" t="s">
        <v>120</v>
      </c>
      <c r="E771" s="218" t="s">
        <v>91</v>
      </c>
      <c r="F771" s="300"/>
      <c r="G771" s="344">
        <f>'Пр.4 Ведом23'!G1266</f>
        <v>0</v>
      </c>
      <c r="H771" s="344">
        <f>'Пр.4 Ведом23'!H1266</f>
        <v>0</v>
      </c>
      <c r="I771" s="102" t="e">
        <f t="shared" si="62"/>
        <v>#DIV/0!</v>
      </c>
      <c r="J771" s="125"/>
      <c r="K771" s="125"/>
      <c r="L771" s="125"/>
      <c r="M771" s="125"/>
      <c r="N771" s="125"/>
    </row>
    <row r="772" spans="1:14" s="264" customFormat="1" ht="47.25" hidden="1" x14ac:dyDescent="0.25">
      <c r="A772" s="26" t="s">
        <v>877</v>
      </c>
      <c r="B772" s="218" t="s">
        <v>609</v>
      </c>
      <c r="C772" s="218" t="s">
        <v>129</v>
      </c>
      <c r="D772" s="217" t="s">
        <v>120</v>
      </c>
      <c r="E772" s="218" t="s">
        <v>91</v>
      </c>
      <c r="F772" s="300">
        <v>908</v>
      </c>
      <c r="G772" s="344">
        <f>G771</f>
        <v>0</v>
      </c>
      <c r="H772" s="344">
        <f>H771</f>
        <v>0</v>
      </c>
      <c r="I772" s="102" t="e">
        <f t="shared" si="62"/>
        <v>#DIV/0!</v>
      </c>
      <c r="J772" s="266"/>
      <c r="K772" s="266"/>
      <c r="L772" s="266"/>
      <c r="M772" s="266"/>
      <c r="N772" s="266"/>
    </row>
    <row r="773" spans="1:14" s="75" customFormat="1" ht="31.5" x14ac:dyDescent="0.25">
      <c r="A773" s="279" t="s">
        <v>657</v>
      </c>
      <c r="B773" s="218" t="s">
        <v>610</v>
      </c>
      <c r="C773" s="218" t="s">
        <v>129</v>
      </c>
      <c r="D773" s="217" t="s">
        <v>120</v>
      </c>
      <c r="E773" s="218"/>
      <c r="F773" s="300"/>
      <c r="G773" s="344">
        <f>G774+G777</f>
        <v>37.5</v>
      </c>
      <c r="H773" s="344">
        <f>H774+H777</f>
        <v>37.5</v>
      </c>
      <c r="I773" s="102">
        <f t="shared" si="62"/>
        <v>100</v>
      </c>
      <c r="J773" s="125"/>
      <c r="K773" s="125"/>
      <c r="L773" s="125"/>
      <c r="M773" s="125"/>
      <c r="N773" s="125"/>
    </row>
    <row r="774" spans="1:14" s="75" customFormat="1" ht="31.5" hidden="1" x14ac:dyDescent="0.25">
      <c r="A774" s="215" t="s">
        <v>88</v>
      </c>
      <c r="B774" s="218" t="s">
        <v>610</v>
      </c>
      <c r="C774" s="218" t="s">
        <v>129</v>
      </c>
      <c r="D774" s="217" t="s">
        <v>120</v>
      </c>
      <c r="E774" s="218" t="s">
        <v>89</v>
      </c>
      <c r="F774" s="300"/>
      <c r="G774" s="344">
        <f>G775</f>
        <v>0</v>
      </c>
      <c r="H774" s="344">
        <f>H775</f>
        <v>0</v>
      </c>
      <c r="I774" s="102" t="e">
        <f t="shared" si="62"/>
        <v>#DIV/0!</v>
      </c>
      <c r="J774" s="125"/>
      <c r="K774" s="125"/>
      <c r="L774" s="125"/>
      <c r="M774" s="125"/>
      <c r="N774" s="125"/>
    </row>
    <row r="775" spans="1:14" s="75" customFormat="1" ht="46.5" hidden="1" customHeight="1" x14ac:dyDescent="0.25">
      <c r="A775" s="215" t="s">
        <v>90</v>
      </c>
      <c r="B775" s="218" t="s">
        <v>610</v>
      </c>
      <c r="C775" s="218" t="s">
        <v>129</v>
      </c>
      <c r="D775" s="217" t="s">
        <v>120</v>
      </c>
      <c r="E775" s="218" t="s">
        <v>91</v>
      </c>
      <c r="F775" s="300"/>
      <c r="G775" s="344">
        <f>'Пр.4 Ведом23'!G1269</f>
        <v>0</v>
      </c>
      <c r="H775" s="344">
        <f>'Пр.4 Ведом23'!H1269</f>
        <v>0</v>
      </c>
      <c r="I775" s="102" t="e">
        <f t="shared" si="62"/>
        <v>#DIV/0!</v>
      </c>
      <c r="J775" s="125"/>
      <c r="K775" s="125"/>
      <c r="L775" s="125"/>
      <c r="M775" s="125"/>
      <c r="N775" s="125"/>
    </row>
    <row r="776" spans="1:14" s="131" customFormat="1" ht="49.5" hidden="1" customHeight="1" x14ac:dyDescent="0.25">
      <c r="A776" s="26" t="s">
        <v>877</v>
      </c>
      <c r="B776" s="218" t="s">
        <v>610</v>
      </c>
      <c r="C776" s="218" t="s">
        <v>129</v>
      </c>
      <c r="D776" s="217" t="s">
        <v>120</v>
      </c>
      <c r="E776" s="218" t="s">
        <v>91</v>
      </c>
      <c r="F776" s="300">
        <v>908</v>
      </c>
      <c r="G776" s="344">
        <f>G775</f>
        <v>0</v>
      </c>
      <c r="H776" s="344">
        <f>H775</f>
        <v>0</v>
      </c>
      <c r="I776" s="102" t="e">
        <f t="shared" si="62"/>
        <v>#DIV/0!</v>
      </c>
      <c r="J776" s="125"/>
      <c r="K776" s="125"/>
      <c r="L776" s="125"/>
      <c r="M776" s="125"/>
      <c r="N776" s="125"/>
    </row>
    <row r="777" spans="1:14" s="75" customFormat="1" ht="15.75" x14ac:dyDescent="0.25">
      <c r="A777" s="215" t="s">
        <v>92</v>
      </c>
      <c r="B777" s="218" t="s">
        <v>610</v>
      </c>
      <c r="C777" s="218" t="s">
        <v>129</v>
      </c>
      <c r="D777" s="217" t="s">
        <v>120</v>
      </c>
      <c r="E777" s="218" t="s">
        <v>98</v>
      </c>
      <c r="F777" s="300"/>
      <c r="G777" s="344">
        <f>G778</f>
        <v>37.5</v>
      </c>
      <c r="H777" s="344">
        <f>H778</f>
        <v>37.5</v>
      </c>
      <c r="I777" s="102">
        <f t="shared" si="62"/>
        <v>100</v>
      </c>
      <c r="J777" s="125"/>
      <c r="K777" s="125"/>
      <c r="L777" s="125"/>
      <c r="M777" s="125"/>
      <c r="N777" s="125"/>
    </row>
    <row r="778" spans="1:14" s="75" customFormat="1" ht="15.75" x14ac:dyDescent="0.25">
      <c r="A778" s="215" t="s">
        <v>258</v>
      </c>
      <c r="B778" s="218" t="s">
        <v>610</v>
      </c>
      <c r="C778" s="218" t="s">
        <v>129</v>
      </c>
      <c r="D778" s="217" t="s">
        <v>120</v>
      </c>
      <c r="E778" s="218" t="s">
        <v>94</v>
      </c>
      <c r="F778" s="300"/>
      <c r="G778" s="344">
        <f>'Пр.4 Ведом23'!G1271</f>
        <v>37.5</v>
      </c>
      <c r="H778" s="344">
        <f>'Пр.4 Ведом23'!H1271</f>
        <v>37.5</v>
      </c>
      <c r="I778" s="102">
        <f t="shared" si="62"/>
        <v>100</v>
      </c>
      <c r="J778" s="125"/>
      <c r="K778" s="125"/>
      <c r="L778" s="125"/>
      <c r="M778" s="125"/>
      <c r="N778" s="125"/>
    </row>
    <row r="779" spans="1:14" s="131" customFormat="1" ht="47.25" x14ac:dyDescent="0.25">
      <c r="A779" s="26" t="s">
        <v>877</v>
      </c>
      <c r="B779" s="218" t="s">
        <v>610</v>
      </c>
      <c r="C779" s="218" t="s">
        <v>129</v>
      </c>
      <c r="D779" s="217" t="s">
        <v>120</v>
      </c>
      <c r="E779" s="218" t="s">
        <v>94</v>
      </c>
      <c r="F779" s="300">
        <v>908</v>
      </c>
      <c r="G779" s="344">
        <f>G778</f>
        <v>37.5</v>
      </c>
      <c r="H779" s="344">
        <f>H778</f>
        <v>37.5</v>
      </c>
      <c r="I779" s="102">
        <f t="shared" si="62"/>
        <v>100</v>
      </c>
      <c r="J779" s="125"/>
      <c r="K779" s="125"/>
      <c r="L779" s="125"/>
      <c r="M779" s="125"/>
      <c r="N779" s="125"/>
    </row>
    <row r="780" spans="1:14" s="75" customFormat="1" ht="19.5" hidden="1" customHeight="1" x14ac:dyDescent="0.25">
      <c r="A780" s="26" t="s">
        <v>221</v>
      </c>
      <c r="B780" s="218" t="s">
        <v>611</v>
      </c>
      <c r="C780" s="218" t="s">
        <v>129</v>
      </c>
      <c r="D780" s="217" t="s">
        <v>120</v>
      </c>
      <c r="E780" s="218"/>
      <c r="F780" s="300"/>
      <c r="G780" s="344">
        <f>G781</f>
        <v>0</v>
      </c>
      <c r="H780" s="344">
        <f>H781</f>
        <v>0</v>
      </c>
      <c r="I780" s="102" t="e">
        <f t="shared" si="62"/>
        <v>#DIV/0!</v>
      </c>
      <c r="J780" s="125"/>
      <c r="K780" s="125"/>
      <c r="L780" s="125"/>
      <c r="M780" s="125"/>
      <c r="N780" s="125"/>
    </row>
    <row r="781" spans="1:14" s="75" customFormat="1" ht="31.5" hidden="1" x14ac:dyDescent="0.25">
      <c r="A781" s="215" t="s">
        <v>88</v>
      </c>
      <c r="B781" s="218" t="s">
        <v>611</v>
      </c>
      <c r="C781" s="218" t="s">
        <v>129</v>
      </c>
      <c r="D781" s="217" t="s">
        <v>120</v>
      </c>
      <c r="E781" s="218" t="s">
        <v>89</v>
      </c>
      <c r="F781" s="300"/>
      <c r="G781" s="344">
        <f>G782</f>
        <v>0</v>
      </c>
      <c r="H781" s="344">
        <f>H782</f>
        <v>0</v>
      </c>
      <c r="I781" s="102" t="e">
        <f t="shared" si="62"/>
        <v>#DIV/0!</v>
      </c>
      <c r="J781" s="125"/>
      <c r="K781" s="125"/>
      <c r="L781" s="125"/>
      <c r="M781" s="125"/>
      <c r="N781" s="125"/>
    </row>
    <row r="782" spans="1:14" s="75" customFormat="1" ht="45" hidden="1" customHeight="1" x14ac:dyDescent="0.25">
      <c r="A782" s="215" t="s">
        <v>90</v>
      </c>
      <c r="B782" s="218" t="s">
        <v>611</v>
      </c>
      <c r="C782" s="218" t="s">
        <v>129</v>
      </c>
      <c r="D782" s="217" t="s">
        <v>120</v>
      </c>
      <c r="E782" s="218" t="s">
        <v>91</v>
      </c>
      <c r="F782" s="300"/>
      <c r="G782" s="344">
        <f>'Пр.4 Ведом23'!G1274</f>
        <v>0</v>
      </c>
      <c r="H782" s="344">
        <f>'Пр.4 Ведом23'!H1274</f>
        <v>0</v>
      </c>
      <c r="I782" s="102" t="e">
        <f t="shared" si="62"/>
        <v>#DIV/0!</v>
      </c>
      <c r="J782" s="125"/>
      <c r="K782" s="125"/>
      <c r="L782" s="125"/>
      <c r="M782" s="125"/>
      <c r="N782" s="125"/>
    </row>
    <row r="783" spans="1:14" s="131" customFormat="1" ht="45" hidden="1" customHeight="1" x14ac:dyDescent="0.25">
      <c r="A783" s="26" t="s">
        <v>877</v>
      </c>
      <c r="B783" s="218" t="s">
        <v>611</v>
      </c>
      <c r="C783" s="218" t="s">
        <v>129</v>
      </c>
      <c r="D783" s="217" t="s">
        <v>120</v>
      </c>
      <c r="E783" s="218" t="s">
        <v>91</v>
      </c>
      <c r="F783" s="300">
        <v>908</v>
      </c>
      <c r="G783" s="344">
        <f>G782</f>
        <v>0</v>
      </c>
      <c r="H783" s="344">
        <f>H782</f>
        <v>0</v>
      </c>
      <c r="I783" s="102" t="e">
        <f t="shared" si="62"/>
        <v>#DIV/0!</v>
      </c>
      <c r="J783" s="125"/>
      <c r="K783" s="125"/>
      <c r="L783" s="125"/>
      <c r="M783" s="125"/>
      <c r="N783" s="125"/>
    </row>
    <row r="784" spans="1:14" s="75" customFormat="1" ht="31.5" hidden="1" x14ac:dyDescent="0.25">
      <c r="A784" s="147" t="s">
        <v>498</v>
      </c>
      <c r="B784" s="218" t="s">
        <v>612</v>
      </c>
      <c r="C784" s="218" t="s">
        <v>129</v>
      </c>
      <c r="D784" s="217" t="s">
        <v>120</v>
      </c>
      <c r="E784" s="218"/>
      <c r="F784" s="300"/>
      <c r="G784" s="344">
        <f>G785</f>
        <v>0</v>
      </c>
      <c r="H784" s="344">
        <f>H785</f>
        <v>0</v>
      </c>
      <c r="I784" s="102" t="e">
        <f t="shared" si="62"/>
        <v>#DIV/0!</v>
      </c>
      <c r="J784" s="125"/>
      <c r="K784" s="125"/>
      <c r="L784" s="125"/>
      <c r="M784" s="125"/>
      <c r="N784" s="125"/>
    </row>
    <row r="785" spans="1:14" s="75" customFormat="1" ht="31.5" hidden="1" x14ac:dyDescent="0.25">
      <c r="A785" s="215" t="s">
        <v>88</v>
      </c>
      <c r="B785" s="218" t="s">
        <v>612</v>
      </c>
      <c r="C785" s="218" t="s">
        <v>129</v>
      </c>
      <c r="D785" s="217" t="s">
        <v>120</v>
      </c>
      <c r="E785" s="218" t="s">
        <v>89</v>
      </c>
      <c r="F785" s="300"/>
      <c r="G785" s="344">
        <f>G786</f>
        <v>0</v>
      </c>
      <c r="H785" s="344">
        <f>H786</f>
        <v>0</v>
      </c>
      <c r="I785" s="102" t="e">
        <f t="shared" ref="I785:I848" si="67">H785/G785*100</f>
        <v>#DIV/0!</v>
      </c>
      <c r="J785" s="125"/>
      <c r="K785" s="125"/>
      <c r="L785" s="125"/>
      <c r="M785" s="125"/>
      <c r="N785" s="125"/>
    </row>
    <row r="786" spans="1:14" s="75" customFormat="1" ht="47.25" hidden="1" x14ac:dyDescent="0.25">
      <c r="A786" s="215" t="s">
        <v>90</v>
      </c>
      <c r="B786" s="218" t="s">
        <v>612</v>
      </c>
      <c r="C786" s="218" t="s">
        <v>129</v>
      </c>
      <c r="D786" s="217" t="s">
        <v>120</v>
      </c>
      <c r="E786" s="218" t="s">
        <v>91</v>
      </c>
      <c r="F786" s="300"/>
      <c r="G786" s="344">
        <f>'Пр.4 Ведом23'!G1277</f>
        <v>0</v>
      </c>
      <c r="H786" s="344">
        <f>'Пр.4 Ведом23'!H1277</f>
        <v>0</v>
      </c>
      <c r="I786" s="102" t="e">
        <f t="shared" si="67"/>
        <v>#DIV/0!</v>
      </c>
      <c r="J786" s="125"/>
      <c r="K786" s="125"/>
      <c r="L786" s="125"/>
      <c r="M786" s="125"/>
      <c r="N786" s="125"/>
    </row>
    <row r="787" spans="1:14" s="131" customFormat="1" ht="47.25" hidden="1" x14ac:dyDescent="0.25">
      <c r="A787" s="26" t="s">
        <v>877</v>
      </c>
      <c r="B787" s="218" t="s">
        <v>612</v>
      </c>
      <c r="C787" s="218" t="s">
        <v>129</v>
      </c>
      <c r="D787" s="217" t="s">
        <v>120</v>
      </c>
      <c r="E787" s="218" t="s">
        <v>91</v>
      </c>
      <c r="F787" s="300">
        <v>908</v>
      </c>
      <c r="G787" s="344">
        <f>G786</f>
        <v>0</v>
      </c>
      <c r="H787" s="344">
        <f>H786</f>
        <v>0</v>
      </c>
      <c r="I787" s="102" t="e">
        <f t="shared" si="67"/>
        <v>#DIV/0!</v>
      </c>
      <c r="J787" s="125"/>
      <c r="K787" s="125"/>
      <c r="L787" s="125"/>
      <c r="M787" s="125"/>
      <c r="N787" s="125"/>
    </row>
    <row r="788" spans="1:14" s="75" customFormat="1" ht="31.5" x14ac:dyDescent="0.25">
      <c r="A788" s="116" t="s">
        <v>342</v>
      </c>
      <c r="B788" s="117" t="s">
        <v>619</v>
      </c>
      <c r="C788" s="117"/>
      <c r="D788" s="6"/>
      <c r="E788" s="117"/>
      <c r="F788" s="3"/>
      <c r="G788" s="302">
        <f t="shared" ref="G788:H792" si="68">G789</f>
        <v>1787</v>
      </c>
      <c r="H788" s="567">
        <f t="shared" si="68"/>
        <v>1787</v>
      </c>
      <c r="I788" s="221">
        <f t="shared" si="67"/>
        <v>100</v>
      </c>
      <c r="J788" s="125"/>
      <c r="K788" s="125"/>
      <c r="L788" s="125"/>
      <c r="M788" s="125"/>
      <c r="N788" s="125"/>
    </row>
    <row r="789" spans="1:14" s="131" customFormat="1" ht="15.75" x14ac:dyDescent="0.25">
      <c r="A789" s="19" t="s">
        <v>184</v>
      </c>
      <c r="B789" s="218" t="s">
        <v>619</v>
      </c>
      <c r="C789" s="218" t="s">
        <v>129</v>
      </c>
      <c r="D789" s="217"/>
      <c r="E789" s="117"/>
      <c r="F789" s="300"/>
      <c r="G789" s="344">
        <f t="shared" si="68"/>
        <v>1787</v>
      </c>
      <c r="H789" s="344">
        <f t="shared" si="68"/>
        <v>1787</v>
      </c>
      <c r="I789" s="102">
        <f t="shared" si="67"/>
        <v>100</v>
      </c>
      <c r="J789" s="125"/>
      <c r="K789" s="125"/>
      <c r="L789" s="125"/>
      <c r="M789" s="125"/>
      <c r="N789" s="125"/>
    </row>
    <row r="790" spans="1:14" s="131" customFormat="1" ht="15.75" x14ac:dyDescent="0.25">
      <c r="A790" s="229" t="s">
        <v>893</v>
      </c>
      <c r="B790" s="218" t="s">
        <v>619</v>
      </c>
      <c r="C790" s="218" t="s">
        <v>129</v>
      </c>
      <c r="D790" s="217" t="s">
        <v>120</v>
      </c>
      <c r="E790" s="117"/>
      <c r="F790" s="300"/>
      <c r="G790" s="344">
        <f t="shared" si="68"/>
        <v>1787</v>
      </c>
      <c r="H790" s="344">
        <f t="shared" si="68"/>
        <v>1787</v>
      </c>
      <c r="I790" s="102">
        <f t="shared" si="67"/>
        <v>100</v>
      </c>
      <c r="J790" s="125"/>
      <c r="K790" s="125"/>
      <c r="L790" s="125"/>
      <c r="M790" s="125"/>
      <c r="N790" s="125"/>
    </row>
    <row r="791" spans="1:14" ht="63" x14ac:dyDescent="0.25">
      <c r="A791" s="215" t="s">
        <v>489</v>
      </c>
      <c r="B791" s="218" t="s">
        <v>618</v>
      </c>
      <c r="C791" s="218" t="s">
        <v>129</v>
      </c>
      <c r="D791" s="217" t="s">
        <v>120</v>
      </c>
      <c r="E791" s="218"/>
      <c r="F791" s="300"/>
      <c r="G791" s="344">
        <f t="shared" si="68"/>
        <v>1787</v>
      </c>
      <c r="H791" s="344">
        <f t="shared" si="68"/>
        <v>1787</v>
      </c>
      <c r="I791" s="102">
        <f t="shared" si="67"/>
        <v>100</v>
      </c>
      <c r="J791" s="233"/>
    </row>
    <row r="792" spans="1:14" ht="31.5" x14ac:dyDescent="0.25">
      <c r="A792" s="215" t="s">
        <v>88</v>
      </c>
      <c r="B792" s="218" t="s">
        <v>618</v>
      </c>
      <c r="C792" s="218" t="s">
        <v>129</v>
      </c>
      <c r="D792" s="217" t="s">
        <v>120</v>
      </c>
      <c r="E792" s="218" t="s">
        <v>89</v>
      </c>
      <c r="F792" s="300"/>
      <c r="G792" s="344">
        <f t="shared" si="68"/>
        <v>1787</v>
      </c>
      <c r="H792" s="344">
        <f t="shared" si="68"/>
        <v>1787</v>
      </c>
      <c r="I792" s="102">
        <f t="shared" si="67"/>
        <v>100</v>
      </c>
    </row>
    <row r="793" spans="1:14" s="131" customFormat="1" ht="47.25" x14ac:dyDescent="0.25">
      <c r="A793" s="215" t="s">
        <v>90</v>
      </c>
      <c r="B793" s="218" t="s">
        <v>618</v>
      </c>
      <c r="C793" s="218" t="s">
        <v>129</v>
      </c>
      <c r="D793" s="217" t="s">
        <v>120</v>
      </c>
      <c r="E793" s="218" t="s">
        <v>91</v>
      </c>
      <c r="F793" s="300"/>
      <c r="G793" s="344">
        <f>'Пр.4 Ведом23'!G1281</f>
        <v>1787</v>
      </c>
      <c r="H793" s="344">
        <f>'Пр.4 Ведом23'!H1281</f>
        <v>1787</v>
      </c>
      <c r="I793" s="102">
        <f t="shared" si="67"/>
        <v>100</v>
      </c>
      <c r="J793" s="125"/>
      <c r="K793" s="125"/>
      <c r="L793" s="125"/>
      <c r="M793" s="125"/>
      <c r="N793" s="125"/>
    </row>
    <row r="794" spans="1:14" s="131" customFormat="1" ht="47.25" x14ac:dyDescent="0.25">
      <c r="A794" s="26" t="s">
        <v>877</v>
      </c>
      <c r="B794" s="218" t="s">
        <v>618</v>
      </c>
      <c r="C794" s="218" t="s">
        <v>129</v>
      </c>
      <c r="D794" s="217" t="s">
        <v>120</v>
      </c>
      <c r="E794" s="218" t="s">
        <v>91</v>
      </c>
      <c r="F794" s="300">
        <v>908</v>
      </c>
      <c r="G794" s="344">
        <f>G793</f>
        <v>1787</v>
      </c>
      <c r="H794" s="344">
        <f>H793</f>
        <v>1787</v>
      </c>
      <c r="I794" s="102">
        <f t="shared" si="67"/>
        <v>100</v>
      </c>
      <c r="J794" s="125"/>
      <c r="K794" s="125"/>
      <c r="L794" s="125"/>
      <c r="M794" s="125"/>
      <c r="N794" s="125"/>
    </row>
    <row r="795" spans="1:14" s="131" customFormat="1" ht="47.25" hidden="1" x14ac:dyDescent="0.25">
      <c r="A795" s="22" t="s">
        <v>722</v>
      </c>
      <c r="B795" s="117" t="s">
        <v>721</v>
      </c>
      <c r="C795" s="218"/>
      <c r="D795" s="217"/>
      <c r="E795" s="117"/>
      <c r="F795" s="300"/>
      <c r="G795" s="302">
        <f t="shared" ref="G795:H799" si="69">G796</f>
        <v>0</v>
      </c>
      <c r="H795" s="567">
        <f t="shared" si="69"/>
        <v>0</v>
      </c>
      <c r="I795" s="102" t="e">
        <f t="shared" si="67"/>
        <v>#DIV/0!</v>
      </c>
      <c r="J795" s="125"/>
      <c r="K795" s="125"/>
      <c r="L795" s="125"/>
      <c r="M795" s="125"/>
      <c r="N795" s="125"/>
    </row>
    <row r="796" spans="1:14" s="131" customFormat="1" ht="15.75" hidden="1" x14ac:dyDescent="0.25">
      <c r="A796" s="19" t="s">
        <v>184</v>
      </c>
      <c r="B796" s="218" t="s">
        <v>721</v>
      </c>
      <c r="C796" s="218" t="s">
        <v>129</v>
      </c>
      <c r="D796" s="217"/>
      <c r="E796" s="117"/>
      <c r="F796" s="300"/>
      <c r="G796" s="344">
        <f t="shared" si="69"/>
        <v>0</v>
      </c>
      <c r="H796" s="344">
        <f t="shared" si="69"/>
        <v>0</v>
      </c>
      <c r="I796" s="102" t="e">
        <f t="shared" si="67"/>
        <v>#DIV/0!</v>
      </c>
      <c r="J796" s="125"/>
      <c r="K796" s="125"/>
      <c r="L796" s="125"/>
      <c r="M796" s="125"/>
      <c r="N796" s="125"/>
    </row>
    <row r="797" spans="1:14" s="131" customFormat="1" ht="15.75" hidden="1" x14ac:dyDescent="0.25">
      <c r="A797" s="229" t="s">
        <v>893</v>
      </c>
      <c r="B797" s="218" t="s">
        <v>721</v>
      </c>
      <c r="C797" s="218" t="s">
        <v>129</v>
      </c>
      <c r="D797" s="217" t="s">
        <v>120</v>
      </c>
      <c r="E797" s="117"/>
      <c r="F797" s="300"/>
      <c r="G797" s="344">
        <f t="shared" si="69"/>
        <v>0</v>
      </c>
      <c r="H797" s="344">
        <f t="shared" si="69"/>
        <v>0</v>
      </c>
      <c r="I797" s="102" t="e">
        <f t="shared" si="67"/>
        <v>#DIV/0!</v>
      </c>
      <c r="J797" s="125"/>
      <c r="K797" s="125"/>
      <c r="L797" s="125"/>
      <c r="M797" s="125"/>
      <c r="N797" s="125"/>
    </row>
    <row r="798" spans="1:14" s="131" customFormat="1" ht="31.5" hidden="1" x14ac:dyDescent="0.25">
      <c r="A798" s="20" t="s">
        <v>756</v>
      </c>
      <c r="B798" s="218" t="s">
        <v>725</v>
      </c>
      <c r="C798" s="218" t="s">
        <v>129</v>
      </c>
      <c r="D798" s="217" t="s">
        <v>120</v>
      </c>
      <c r="E798" s="218"/>
      <c r="F798" s="300"/>
      <c r="G798" s="344">
        <f t="shared" si="69"/>
        <v>0</v>
      </c>
      <c r="H798" s="344">
        <f t="shared" si="69"/>
        <v>0</v>
      </c>
      <c r="I798" s="102" t="e">
        <f t="shared" si="67"/>
        <v>#DIV/0!</v>
      </c>
      <c r="J798" s="125"/>
      <c r="K798" s="125"/>
      <c r="L798" s="125"/>
      <c r="M798" s="125"/>
      <c r="N798" s="125"/>
    </row>
    <row r="799" spans="1:14" s="131" customFormat="1" ht="31.5" hidden="1" x14ac:dyDescent="0.25">
      <c r="A799" s="215" t="s">
        <v>88</v>
      </c>
      <c r="B799" s="218" t="s">
        <v>725</v>
      </c>
      <c r="C799" s="218" t="s">
        <v>129</v>
      </c>
      <c r="D799" s="217" t="s">
        <v>120</v>
      </c>
      <c r="E799" s="218" t="s">
        <v>89</v>
      </c>
      <c r="F799" s="300"/>
      <c r="G799" s="344">
        <f t="shared" si="69"/>
        <v>0</v>
      </c>
      <c r="H799" s="344">
        <f t="shared" si="69"/>
        <v>0</v>
      </c>
      <c r="I799" s="102" t="e">
        <f t="shared" si="67"/>
        <v>#DIV/0!</v>
      </c>
      <c r="J799" s="125"/>
      <c r="K799" s="125"/>
      <c r="L799" s="125"/>
      <c r="M799" s="125"/>
      <c r="N799" s="125"/>
    </row>
    <row r="800" spans="1:14" s="131" customFormat="1" ht="47.25" hidden="1" x14ac:dyDescent="0.25">
      <c r="A800" s="215" t="s">
        <v>90</v>
      </c>
      <c r="B800" s="218" t="s">
        <v>725</v>
      </c>
      <c r="C800" s="218" t="s">
        <v>129</v>
      </c>
      <c r="D800" s="217" t="s">
        <v>120</v>
      </c>
      <c r="E800" s="218" t="s">
        <v>91</v>
      </c>
      <c r="F800" s="300"/>
      <c r="G800" s="344">
        <f>'Пр.4 Ведом23'!G1285</f>
        <v>0</v>
      </c>
      <c r="H800" s="344">
        <f>'Пр.4 Ведом23'!H1285</f>
        <v>0</v>
      </c>
      <c r="I800" s="102" t="e">
        <f t="shared" si="67"/>
        <v>#DIV/0!</v>
      </c>
      <c r="J800" s="125"/>
      <c r="K800" s="125"/>
      <c r="L800" s="125"/>
      <c r="M800" s="125"/>
      <c r="N800" s="125"/>
    </row>
    <row r="801" spans="1:14" s="131" customFormat="1" ht="47.25" hidden="1" x14ac:dyDescent="0.25">
      <c r="A801" s="26" t="s">
        <v>877</v>
      </c>
      <c r="B801" s="218" t="s">
        <v>725</v>
      </c>
      <c r="C801" s="218" t="s">
        <v>129</v>
      </c>
      <c r="D801" s="217" t="s">
        <v>120</v>
      </c>
      <c r="E801" s="218" t="s">
        <v>91</v>
      </c>
      <c r="F801" s="300">
        <v>908</v>
      </c>
      <c r="G801" s="344">
        <f>G800</f>
        <v>0</v>
      </c>
      <c r="H801" s="344">
        <f>H800</f>
        <v>0</v>
      </c>
      <c r="I801" s="102" t="e">
        <f t="shared" si="67"/>
        <v>#DIV/0!</v>
      </c>
      <c r="J801" s="125"/>
      <c r="K801" s="125"/>
      <c r="L801" s="125"/>
      <c r="M801" s="125"/>
      <c r="N801" s="125"/>
    </row>
    <row r="802" spans="1:14" s="131" customFormat="1" ht="31.5" x14ac:dyDescent="0.25">
      <c r="A802" s="116" t="s">
        <v>795</v>
      </c>
      <c r="B802" s="117" t="s">
        <v>797</v>
      </c>
      <c r="C802" s="218"/>
      <c r="D802" s="217"/>
      <c r="E802" s="117"/>
      <c r="F802" s="300"/>
      <c r="G802" s="302">
        <f t="shared" ref="G802:H806" si="70">G803</f>
        <v>7500</v>
      </c>
      <c r="H802" s="567">
        <f t="shared" si="70"/>
        <v>7500</v>
      </c>
      <c r="I802" s="221">
        <f t="shared" si="67"/>
        <v>100</v>
      </c>
      <c r="J802" s="125"/>
      <c r="K802" s="125"/>
      <c r="L802" s="125"/>
      <c r="M802" s="125"/>
      <c r="N802" s="125"/>
    </row>
    <row r="803" spans="1:14" s="131" customFormat="1" ht="15.75" x14ac:dyDescent="0.25">
      <c r="A803" s="19" t="s">
        <v>184</v>
      </c>
      <c r="B803" s="218" t="s">
        <v>797</v>
      </c>
      <c r="C803" s="218" t="s">
        <v>129</v>
      </c>
      <c r="D803" s="217"/>
      <c r="E803" s="117"/>
      <c r="F803" s="300"/>
      <c r="G803" s="344">
        <f t="shared" si="70"/>
        <v>7500</v>
      </c>
      <c r="H803" s="344">
        <f t="shared" si="70"/>
        <v>7500</v>
      </c>
      <c r="I803" s="102">
        <f t="shared" si="67"/>
        <v>100</v>
      </c>
      <c r="J803" s="125"/>
      <c r="K803" s="125"/>
      <c r="L803" s="125"/>
      <c r="M803" s="125"/>
      <c r="N803" s="125"/>
    </row>
    <row r="804" spans="1:14" s="131" customFormat="1" ht="15.75" x14ac:dyDescent="0.25">
      <c r="A804" s="229" t="s">
        <v>893</v>
      </c>
      <c r="B804" s="218" t="s">
        <v>797</v>
      </c>
      <c r="C804" s="218" t="s">
        <v>129</v>
      </c>
      <c r="D804" s="217" t="s">
        <v>120</v>
      </c>
      <c r="E804" s="117"/>
      <c r="F804" s="300"/>
      <c r="G804" s="344">
        <f t="shared" si="70"/>
        <v>7500</v>
      </c>
      <c r="H804" s="344">
        <f t="shared" si="70"/>
        <v>7500</v>
      </c>
      <c r="I804" s="102">
        <f t="shared" si="67"/>
        <v>100</v>
      </c>
      <c r="J804" s="125"/>
      <c r="K804" s="125"/>
      <c r="L804" s="125"/>
      <c r="M804" s="125"/>
      <c r="N804" s="125"/>
    </row>
    <row r="805" spans="1:14" s="131" customFormat="1" ht="63" x14ac:dyDescent="0.25">
      <c r="A805" s="215" t="s">
        <v>796</v>
      </c>
      <c r="B805" s="218" t="s">
        <v>806</v>
      </c>
      <c r="C805" s="218" t="s">
        <v>129</v>
      </c>
      <c r="D805" s="217" t="s">
        <v>120</v>
      </c>
      <c r="E805" s="218"/>
      <c r="F805" s="300"/>
      <c r="G805" s="344">
        <f t="shared" si="70"/>
        <v>7500</v>
      </c>
      <c r="H805" s="344">
        <f t="shared" si="70"/>
        <v>7500</v>
      </c>
      <c r="I805" s="102">
        <f t="shared" si="67"/>
        <v>100</v>
      </c>
      <c r="J805" s="125"/>
      <c r="K805" s="125"/>
      <c r="L805" s="125"/>
      <c r="M805" s="125"/>
      <c r="N805" s="125"/>
    </row>
    <row r="806" spans="1:14" ht="31.5" x14ac:dyDescent="0.25">
      <c r="A806" s="215" t="s">
        <v>88</v>
      </c>
      <c r="B806" s="218" t="s">
        <v>806</v>
      </c>
      <c r="C806" s="218" t="s">
        <v>129</v>
      </c>
      <c r="D806" s="217" t="s">
        <v>120</v>
      </c>
      <c r="E806" s="218" t="s">
        <v>89</v>
      </c>
      <c r="F806" s="300"/>
      <c r="G806" s="344">
        <f t="shared" si="70"/>
        <v>7500</v>
      </c>
      <c r="H806" s="344">
        <f t="shared" si="70"/>
        <v>7500</v>
      </c>
      <c r="I806" s="102">
        <f t="shared" si="67"/>
        <v>100</v>
      </c>
    </row>
    <row r="807" spans="1:14" ht="47.25" x14ac:dyDescent="0.25">
      <c r="A807" s="215" t="s">
        <v>90</v>
      </c>
      <c r="B807" s="218" t="s">
        <v>806</v>
      </c>
      <c r="C807" s="218" t="s">
        <v>129</v>
      </c>
      <c r="D807" s="217" t="s">
        <v>120</v>
      </c>
      <c r="E807" s="218" t="s">
        <v>91</v>
      </c>
      <c r="F807" s="300"/>
      <c r="G807" s="344">
        <f>'Пр.4 Ведом23'!G1289</f>
        <v>7500</v>
      </c>
      <c r="H807" s="344">
        <f>'Пр.4 Ведом23'!H1289</f>
        <v>7500</v>
      </c>
      <c r="I807" s="102">
        <f t="shared" si="67"/>
        <v>100</v>
      </c>
    </row>
    <row r="808" spans="1:14" s="131" customFormat="1" ht="47.25" x14ac:dyDescent="0.25">
      <c r="A808" s="26" t="s">
        <v>877</v>
      </c>
      <c r="B808" s="218" t="s">
        <v>806</v>
      </c>
      <c r="C808" s="218" t="s">
        <v>129</v>
      </c>
      <c r="D808" s="217" t="s">
        <v>120</v>
      </c>
      <c r="E808" s="218" t="s">
        <v>91</v>
      </c>
      <c r="F808" s="300">
        <v>908</v>
      </c>
      <c r="G808" s="344">
        <f>G807</f>
        <v>7500</v>
      </c>
      <c r="H808" s="344">
        <f>H807</f>
        <v>7500</v>
      </c>
      <c r="I808" s="102">
        <f t="shared" si="67"/>
        <v>100</v>
      </c>
      <c r="J808" s="125"/>
      <c r="K808" s="125"/>
      <c r="L808" s="125"/>
      <c r="M808" s="125"/>
      <c r="N808" s="125"/>
    </row>
    <row r="809" spans="1:14" s="75" customFormat="1" ht="31.5" x14ac:dyDescent="0.25">
      <c r="A809" s="116" t="s">
        <v>810</v>
      </c>
      <c r="B809" s="117" t="s">
        <v>807</v>
      </c>
      <c r="C809" s="218"/>
      <c r="D809" s="217"/>
      <c r="E809" s="117"/>
      <c r="F809" s="300"/>
      <c r="G809" s="302">
        <f t="shared" ref="G809:H811" si="71">G810</f>
        <v>2853.35277</v>
      </c>
      <c r="H809" s="567">
        <f t="shared" si="71"/>
        <v>2853.3364999999999</v>
      </c>
      <c r="I809" s="221">
        <f t="shared" si="67"/>
        <v>99.999429793603824</v>
      </c>
      <c r="J809" s="125"/>
      <c r="K809" s="125"/>
      <c r="L809" s="125"/>
      <c r="M809" s="125"/>
      <c r="N809" s="125"/>
    </row>
    <row r="810" spans="1:14" ht="15.75" customHeight="1" x14ac:dyDescent="0.25">
      <c r="A810" s="215" t="s">
        <v>808</v>
      </c>
      <c r="B810" s="218" t="s">
        <v>809</v>
      </c>
      <c r="C810" s="218" t="s">
        <v>129</v>
      </c>
      <c r="D810" s="217" t="s">
        <v>120</v>
      </c>
      <c r="E810" s="218"/>
      <c r="F810" s="300"/>
      <c r="G810" s="344">
        <f t="shared" si="71"/>
        <v>2853.35277</v>
      </c>
      <c r="H810" s="344">
        <f t="shared" si="71"/>
        <v>2853.3364999999999</v>
      </c>
      <c r="I810" s="102">
        <f t="shared" si="67"/>
        <v>99.999429793603824</v>
      </c>
    </row>
    <row r="811" spans="1:14" ht="15.75" customHeight="1" x14ac:dyDescent="0.25">
      <c r="A811" s="215" t="s">
        <v>88</v>
      </c>
      <c r="B811" s="218" t="s">
        <v>809</v>
      </c>
      <c r="C811" s="218" t="s">
        <v>129</v>
      </c>
      <c r="D811" s="217" t="s">
        <v>120</v>
      </c>
      <c r="E811" s="218" t="s">
        <v>89</v>
      </c>
      <c r="F811" s="300"/>
      <c r="G811" s="344">
        <f t="shared" si="71"/>
        <v>2853.35277</v>
      </c>
      <c r="H811" s="344">
        <f t="shared" si="71"/>
        <v>2853.3364999999999</v>
      </c>
      <c r="I811" s="102">
        <f t="shared" si="67"/>
        <v>99.999429793603824</v>
      </c>
    </row>
    <row r="812" spans="1:14" s="75" customFormat="1" ht="50.25" customHeight="1" x14ac:dyDescent="0.25">
      <c r="A812" s="215" t="s">
        <v>90</v>
      </c>
      <c r="B812" s="218" t="s">
        <v>809</v>
      </c>
      <c r="C812" s="218" t="s">
        <v>129</v>
      </c>
      <c r="D812" s="217" t="s">
        <v>120</v>
      </c>
      <c r="E812" s="218" t="s">
        <v>91</v>
      </c>
      <c r="F812" s="300"/>
      <c r="G812" s="344">
        <f>'Пр.4 Ведом23'!G1293</f>
        <v>2853.35277</v>
      </c>
      <c r="H812" s="344">
        <f>'Пр.4 Ведом23'!H1293</f>
        <v>2853.3364999999999</v>
      </c>
      <c r="I812" s="102">
        <f t="shared" si="67"/>
        <v>99.999429793603824</v>
      </c>
      <c r="J812" s="125"/>
      <c r="K812" s="125"/>
      <c r="L812" s="125"/>
      <c r="M812" s="125"/>
      <c r="N812" s="125"/>
    </row>
    <row r="813" spans="1:14" s="75" customFormat="1" ht="47.25" x14ac:dyDescent="0.25">
      <c r="A813" s="26" t="s">
        <v>877</v>
      </c>
      <c r="B813" s="218" t="s">
        <v>809</v>
      </c>
      <c r="C813" s="218" t="s">
        <v>129</v>
      </c>
      <c r="D813" s="217" t="s">
        <v>120</v>
      </c>
      <c r="E813" s="218" t="s">
        <v>91</v>
      </c>
      <c r="F813" s="300">
        <v>908</v>
      </c>
      <c r="G813" s="344">
        <f>G812</f>
        <v>2853.35277</v>
      </c>
      <c r="H813" s="344">
        <f>H812</f>
        <v>2853.3364999999999</v>
      </c>
      <c r="I813" s="102">
        <f t="shared" si="67"/>
        <v>99.999429793603824</v>
      </c>
      <c r="J813" s="125"/>
      <c r="K813" s="125"/>
      <c r="L813" s="125"/>
      <c r="M813" s="125"/>
      <c r="N813" s="125"/>
    </row>
    <row r="814" spans="1:14" s="75" customFormat="1" ht="47.25" hidden="1" x14ac:dyDescent="0.25">
      <c r="A814" s="22" t="s">
        <v>895</v>
      </c>
      <c r="B814" s="74" t="s">
        <v>109</v>
      </c>
      <c r="C814" s="119"/>
      <c r="D814" s="217"/>
      <c r="E814" s="218"/>
      <c r="F814" s="300"/>
      <c r="G814" s="302">
        <f>G815+G822</f>
        <v>0</v>
      </c>
      <c r="H814" s="567">
        <f>H815+H822</f>
        <v>0</v>
      </c>
      <c r="I814" s="102" t="e">
        <f t="shared" si="67"/>
        <v>#DIV/0!</v>
      </c>
      <c r="J814" s="125"/>
      <c r="K814" s="125"/>
      <c r="L814" s="125"/>
      <c r="M814" s="125"/>
      <c r="N814" s="125"/>
    </row>
    <row r="815" spans="1:14" s="75" customFormat="1" ht="31.5" hidden="1" x14ac:dyDescent="0.25">
      <c r="A815" s="22" t="s">
        <v>434</v>
      </c>
      <c r="B815" s="90" t="s">
        <v>334</v>
      </c>
      <c r="C815" s="301"/>
      <c r="D815" s="217"/>
      <c r="E815" s="218"/>
      <c r="F815" s="300"/>
      <c r="G815" s="302">
        <f t="shared" ref="G815:H819" si="72">G816</f>
        <v>0</v>
      </c>
      <c r="H815" s="567">
        <f t="shared" si="72"/>
        <v>0</v>
      </c>
      <c r="I815" s="102" t="e">
        <f t="shared" si="67"/>
        <v>#DIV/0!</v>
      </c>
      <c r="J815" s="125"/>
      <c r="K815" s="125"/>
      <c r="L815" s="125"/>
      <c r="M815" s="125"/>
      <c r="N815" s="125"/>
    </row>
    <row r="816" spans="1:14" s="131" customFormat="1" ht="15.75" hidden="1" x14ac:dyDescent="0.25">
      <c r="A816" s="19" t="s">
        <v>127</v>
      </c>
      <c r="B816" s="236" t="s">
        <v>334</v>
      </c>
      <c r="C816" s="118" t="s">
        <v>103</v>
      </c>
      <c r="D816" s="217"/>
      <c r="E816" s="218"/>
      <c r="F816" s="300"/>
      <c r="G816" s="344">
        <f t="shared" si="72"/>
        <v>0</v>
      </c>
      <c r="H816" s="344">
        <f t="shared" si="72"/>
        <v>0</v>
      </c>
      <c r="I816" s="102" t="e">
        <f t="shared" si="67"/>
        <v>#DIV/0!</v>
      </c>
      <c r="J816" s="125"/>
      <c r="K816" s="125"/>
      <c r="L816" s="125"/>
      <c r="M816" s="125"/>
      <c r="N816" s="125"/>
    </row>
    <row r="817" spans="1:14" s="131" customFormat="1" ht="15.75" hidden="1" x14ac:dyDescent="0.25">
      <c r="A817" s="19" t="s">
        <v>128</v>
      </c>
      <c r="B817" s="236" t="s">
        <v>334</v>
      </c>
      <c r="C817" s="118" t="s">
        <v>103</v>
      </c>
      <c r="D817" s="217" t="s">
        <v>129</v>
      </c>
      <c r="E817" s="218"/>
      <c r="F817" s="300"/>
      <c r="G817" s="344">
        <f t="shared" si="72"/>
        <v>0</v>
      </c>
      <c r="H817" s="344">
        <f t="shared" si="72"/>
        <v>0</v>
      </c>
      <c r="I817" s="102" t="e">
        <f t="shared" si="67"/>
        <v>#DIV/0!</v>
      </c>
      <c r="J817" s="125"/>
      <c r="K817" s="125"/>
      <c r="L817" s="125"/>
      <c r="M817" s="125"/>
      <c r="N817" s="125"/>
    </row>
    <row r="818" spans="1:14" s="75" customFormat="1" ht="31.5" hidden="1" x14ac:dyDescent="0.25">
      <c r="A818" s="215" t="s">
        <v>130</v>
      </c>
      <c r="B818" s="218" t="s">
        <v>347</v>
      </c>
      <c r="C818" s="118" t="s">
        <v>103</v>
      </c>
      <c r="D818" s="217" t="s">
        <v>129</v>
      </c>
      <c r="E818" s="218"/>
      <c r="F818" s="300"/>
      <c r="G818" s="344">
        <f t="shared" si="72"/>
        <v>0</v>
      </c>
      <c r="H818" s="344">
        <f t="shared" si="72"/>
        <v>0</v>
      </c>
      <c r="I818" s="102" t="e">
        <f t="shared" si="67"/>
        <v>#DIV/0!</v>
      </c>
      <c r="J818" s="125"/>
      <c r="K818" s="125"/>
      <c r="L818" s="125"/>
      <c r="M818" s="125"/>
      <c r="N818" s="125"/>
    </row>
    <row r="819" spans="1:14" s="75" customFormat="1" ht="15.75" hidden="1" x14ac:dyDescent="0.25">
      <c r="A819" s="19" t="s">
        <v>92</v>
      </c>
      <c r="B819" s="218" t="s">
        <v>347</v>
      </c>
      <c r="C819" s="118" t="s">
        <v>103</v>
      </c>
      <c r="D819" s="217" t="s">
        <v>129</v>
      </c>
      <c r="E819" s="118" t="s">
        <v>98</v>
      </c>
      <c r="F819" s="300"/>
      <c r="G819" s="344">
        <f t="shared" si="72"/>
        <v>0</v>
      </c>
      <c r="H819" s="344">
        <f t="shared" si="72"/>
        <v>0</v>
      </c>
      <c r="I819" s="102" t="e">
        <f t="shared" si="67"/>
        <v>#DIV/0!</v>
      </c>
      <c r="J819" s="125"/>
      <c r="K819" s="125"/>
      <c r="L819" s="125"/>
      <c r="M819" s="125"/>
      <c r="N819" s="125"/>
    </row>
    <row r="820" spans="1:14" s="75" customFormat="1" ht="47.25" hidden="1" x14ac:dyDescent="0.25">
      <c r="A820" s="19" t="s">
        <v>110</v>
      </c>
      <c r="B820" s="218" t="s">
        <v>347</v>
      </c>
      <c r="C820" s="118" t="s">
        <v>103</v>
      </c>
      <c r="D820" s="217" t="s">
        <v>129</v>
      </c>
      <c r="E820" s="118" t="s">
        <v>105</v>
      </c>
      <c r="F820" s="300"/>
      <c r="G820" s="344">
        <f>'Пр.4 Ведом23'!G241</f>
        <v>0</v>
      </c>
      <c r="H820" s="344">
        <f>'Пр.4 Ведом23'!H241</f>
        <v>0</v>
      </c>
      <c r="I820" s="102" t="e">
        <f t="shared" si="67"/>
        <v>#DIV/0!</v>
      </c>
      <c r="J820" s="125"/>
      <c r="K820" s="125"/>
      <c r="L820" s="125"/>
      <c r="M820" s="125"/>
      <c r="N820" s="125"/>
    </row>
    <row r="821" spans="1:14" s="131" customFormat="1" ht="31.5" hidden="1" x14ac:dyDescent="0.25">
      <c r="A821" s="19" t="s">
        <v>880</v>
      </c>
      <c r="B821" s="218" t="s">
        <v>347</v>
      </c>
      <c r="C821" s="118" t="s">
        <v>103</v>
      </c>
      <c r="D821" s="217" t="s">
        <v>129</v>
      </c>
      <c r="E821" s="118" t="s">
        <v>105</v>
      </c>
      <c r="F821" s="300">
        <v>902</v>
      </c>
      <c r="G821" s="344">
        <f>G820</f>
        <v>0</v>
      </c>
      <c r="H821" s="344">
        <f>H820</f>
        <v>0</v>
      </c>
      <c r="I821" s="102" t="e">
        <f t="shared" si="67"/>
        <v>#DIV/0!</v>
      </c>
      <c r="J821" s="125"/>
      <c r="K821" s="125"/>
      <c r="L821" s="125"/>
      <c r="M821" s="125"/>
      <c r="N821" s="125"/>
    </row>
    <row r="822" spans="1:14" s="75" customFormat="1" ht="47.25" hidden="1" x14ac:dyDescent="0.25">
      <c r="A822" s="180" t="s">
        <v>435</v>
      </c>
      <c r="B822" s="74" t="s">
        <v>336</v>
      </c>
      <c r="C822" s="118"/>
      <c r="D822" s="217"/>
      <c r="E822" s="119"/>
      <c r="F822" s="300"/>
      <c r="G822" s="302">
        <f t="shared" ref="G822:H824" si="73">G823</f>
        <v>0</v>
      </c>
      <c r="H822" s="567">
        <f t="shared" si="73"/>
        <v>0</v>
      </c>
      <c r="I822" s="102" t="e">
        <f t="shared" si="67"/>
        <v>#DIV/0!</v>
      </c>
      <c r="J822" s="125"/>
      <c r="K822" s="125"/>
      <c r="L822" s="125"/>
      <c r="M822" s="125"/>
      <c r="N822" s="125"/>
    </row>
    <row r="823" spans="1:14" s="75" customFormat="1" ht="15.75" hidden="1" x14ac:dyDescent="0.25">
      <c r="A823" s="215" t="s">
        <v>335</v>
      </c>
      <c r="B823" s="299" t="s">
        <v>348</v>
      </c>
      <c r="C823" s="118" t="s">
        <v>103</v>
      </c>
      <c r="D823" s="217" t="s">
        <v>129</v>
      </c>
      <c r="E823" s="118"/>
      <c r="F823" s="300"/>
      <c r="G823" s="344">
        <f t="shared" si="73"/>
        <v>0</v>
      </c>
      <c r="H823" s="344">
        <f t="shared" si="73"/>
        <v>0</v>
      </c>
      <c r="I823" s="102" t="e">
        <f t="shared" si="67"/>
        <v>#DIV/0!</v>
      </c>
      <c r="J823" s="125"/>
      <c r="K823" s="125"/>
      <c r="L823" s="125"/>
      <c r="M823" s="125"/>
      <c r="N823" s="125"/>
    </row>
    <row r="824" spans="1:14" s="75" customFormat="1" ht="15.75" hidden="1" x14ac:dyDescent="0.25">
      <c r="A824" s="19" t="s">
        <v>92</v>
      </c>
      <c r="B824" s="299" t="s">
        <v>348</v>
      </c>
      <c r="C824" s="118" t="s">
        <v>103</v>
      </c>
      <c r="D824" s="217" t="s">
        <v>129</v>
      </c>
      <c r="E824" s="118" t="s">
        <v>98</v>
      </c>
      <c r="F824" s="300"/>
      <c r="G824" s="344">
        <f t="shared" si="73"/>
        <v>0</v>
      </c>
      <c r="H824" s="344">
        <f t="shared" si="73"/>
        <v>0</v>
      </c>
      <c r="I824" s="102" t="e">
        <f t="shared" si="67"/>
        <v>#DIV/0!</v>
      </c>
      <c r="J824" s="125"/>
      <c r="K824" s="125"/>
      <c r="L824" s="125"/>
      <c r="M824" s="125"/>
      <c r="N824" s="125"/>
    </row>
    <row r="825" spans="1:14" s="75" customFormat="1" ht="47.25" hidden="1" x14ac:dyDescent="0.25">
      <c r="A825" s="19" t="s">
        <v>110</v>
      </c>
      <c r="B825" s="299" t="s">
        <v>348</v>
      </c>
      <c r="C825" s="118" t="s">
        <v>103</v>
      </c>
      <c r="D825" s="217" t="s">
        <v>129</v>
      </c>
      <c r="E825" s="118" t="s">
        <v>105</v>
      </c>
      <c r="F825" s="300"/>
      <c r="G825" s="344">
        <f>'Пр.4 Ведом23'!G245</f>
        <v>0</v>
      </c>
      <c r="H825" s="344">
        <f>'Пр.4 Ведом23'!H245</f>
        <v>0</v>
      </c>
      <c r="I825" s="102" t="e">
        <f t="shared" si="67"/>
        <v>#DIV/0!</v>
      </c>
      <c r="J825" s="125"/>
      <c r="K825" s="125"/>
      <c r="L825" s="125"/>
      <c r="M825" s="125"/>
      <c r="N825" s="125"/>
    </row>
    <row r="826" spans="1:14" s="75" customFormat="1" ht="31.5" hidden="1" x14ac:dyDescent="0.25">
      <c r="A826" s="19" t="s">
        <v>880</v>
      </c>
      <c r="B826" s="299" t="s">
        <v>348</v>
      </c>
      <c r="C826" s="118" t="s">
        <v>103</v>
      </c>
      <c r="D826" s="217" t="s">
        <v>129</v>
      </c>
      <c r="E826" s="118" t="s">
        <v>105</v>
      </c>
      <c r="F826" s="300">
        <v>902</v>
      </c>
      <c r="G826" s="344">
        <f>G825</f>
        <v>0</v>
      </c>
      <c r="H826" s="344">
        <f>H825</f>
        <v>0</v>
      </c>
      <c r="I826" s="102" t="e">
        <f t="shared" si="67"/>
        <v>#DIV/0!</v>
      </c>
      <c r="J826" s="125"/>
      <c r="K826" s="125"/>
      <c r="L826" s="125"/>
      <c r="M826" s="125"/>
      <c r="N826" s="125"/>
    </row>
    <row r="827" spans="1:14" s="75" customFormat="1" ht="63" x14ac:dyDescent="0.25">
      <c r="A827" s="116" t="s">
        <v>871</v>
      </c>
      <c r="B827" s="117" t="s">
        <v>208</v>
      </c>
      <c r="C827" s="117"/>
      <c r="D827" s="217"/>
      <c r="E827" s="217"/>
      <c r="F827" s="300"/>
      <c r="G827" s="302">
        <f>G828+G835+G842+G849+G856+G863+G870+G877</f>
        <v>24891.364849999998</v>
      </c>
      <c r="H827" s="567">
        <f>H828+H835+H842+H849+H856+H863+H870+H877</f>
        <v>24891.364849999998</v>
      </c>
      <c r="I827" s="221">
        <f t="shared" si="67"/>
        <v>100</v>
      </c>
      <c r="J827" s="125"/>
      <c r="K827" s="125"/>
      <c r="L827" s="125"/>
      <c r="M827" s="125"/>
      <c r="N827" s="125"/>
    </row>
    <row r="828" spans="1:14" s="75" customFormat="1" ht="31.5" x14ac:dyDescent="0.25">
      <c r="A828" s="116" t="s">
        <v>394</v>
      </c>
      <c r="B828" s="117" t="s">
        <v>396</v>
      </c>
      <c r="C828" s="117"/>
      <c r="D828" s="217"/>
      <c r="E828" s="217"/>
      <c r="F828" s="300"/>
      <c r="G828" s="302">
        <f t="shared" ref="G828:H832" si="74">G829</f>
        <v>635.06700000000001</v>
      </c>
      <c r="H828" s="567">
        <f t="shared" si="74"/>
        <v>635.06700000000001</v>
      </c>
      <c r="I828" s="221">
        <f t="shared" si="67"/>
        <v>100</v>
      </c>
      <c r="J828" s="125"/>
      <c r="K828" s="125"/>
      <c r="L828" s="125"/>
      <c r="M828" s="125"/>
      <c r="N828" s="125"/>
    </row>
    <row r="829" spans="1:14" s="131" customFormat="1" ht="15.75" x14ac:dyDescent="0.25">
      <c r="A829" s="19" t="s">
        <v>184</v>
      </c>
      <c r="B829" s="218" t="s">
        <v>396</v>
      </c>
      <c r="C829" s="218" t="s">
        <v>129</v>
      </c>
      <c r="D829" s="217"/>
      <c r="E829" s="217"/>
      <c r="F829" s="300"/>
      <c r="G829" s="344">
        <f t="shared" si="74"/>
        <v>635.06700000000001</v>
      </c>
      <c r="H829" s="344">
        <f t="shared" si="74"/>
        <v>635.06700000000001</v>
      </c>
      <c r="I829" s="102">
        <f t="shared" si="67"/>
        <v>100</v>
      </c>
      <c r="J829" s="125"/>
      <c r="K829" s="125"/>
      <c r="L829" s="125"/>
      <c r="M829" s="125"/>
      <c r="N829" s="125"/>
    </row>
    <row r="830" spans="1:14" s="131" customFormat="1" ht="15.75" x14ac:dyDescent="0.25">
      <c r="A830" s="19" t="s">
        <v>207</v>
      </c>
      <c r="B830" s="218" t="s">
        <v>396</v>
      </c>
      <c r="C830" s="218" t="s">
        <v>129</v>
      </c>
      <c r="D830" s="217" t="s">
        <v>119</v>
      </c>
      <c r="E830" s="217"/>
      <c r="F830" s="300"/>
      <c r="G830" s="344">
        <f t="shared" si="74"/>
        <v>635.06700000000001</v>
      </c>
      <c r="H830" s="344">
        <f t="shared" si="74"/>
        <v>635.06700000000001</v>
      </c>
      <c r="I830" s="102">
        <f t="shared" si="67"/>
        <v>100</v>
      </c>
      <c r="J830" s="125"/>
      <c r="K830" s="125"/>
      <c r="L830" s="125"/>
      <c r="M830" s="125"/>
      <c r="N830" s="125"/>
    </row>
    <row r="831" spans="1:14" s="75" customFormat="1" ht="15.75" x14ac:dyDescent="0.25">
      <c r="A831" s="26" t="s">
        <v>395</v>
      </c>
      <c r="B831" s="218" t="s">
        <v>397</v>
      </c>
      <c r="C831" s="218" t="s">
        <v>129</v>
      </c>
      <c r="D831" s="217" t="s">
        <v>119</v>
      </c>
      <c r="E831" s="217"/>
      <c r="F831" s="300"/>
      <c r="G831" s="344">
        <f t="shared" si="74"/>
        <v>635.06700000000001</v>
      </c>
      <c r="H831" s="344">
        <f t="shared" si="74"/>
        <v>635.06700000000001</v>
      </c>
      <c r="I831" s="102">
        <f t="shared" si="67"/>
        <v>100</v>
      </c>
      <c r="J831" s="125"/>
      <c r="K831" s="125"/>
      <c r="L831" s="125"/>
      <c r="M831" s="125"/>
      <c r="N831" s="125"/>
    </row>
    <row r="832" spans="1:14" s="75" customFormat="1" ht="31.5" x14ac:dyDescent="0.25">
      <c r="A832" s="20" t="s">
        <v>88</v>
      </c>
      <c r="B832" s="218" t="s">
        <v>397</v>
      </c>
      <c r="C832" s="218" t="s">
        <v>129</v>
      </c>
      <c r="D832" s="217" t="s">
        <v>119</v>
      </c>
      <c r="E832" s="217" t="s">
        <v>89</v>
      </c>
      <c r="F832" s="300"/>
      <c r="G832" s="344">
        <f t="shared" si="74"/>
        <v>635.06700000000001</v>
      </c>
      <c r="H832" s="344">
        <f t="shared" si="74"/>
        <v>635.06700000000001</v>
      </c>
      <c r="I832" s="102">
        <f t="shared" si="67"/>
        <v>100</v>
      </c>
      <c r="J832" s="125"/>
      <c r="K832" s="125"/>
      <c r="L832" s="125"/>
      <c r="M832" s="125"/>
      <c r="N832" s="125"/>
    </row>
    <row r="833" spans="1:14" s="264" customFormat="1" ht="47.25" x14ac:dyDescent="0.25">
      <c r="A833" s="20" t="s">
        <v>90</v>
      </c>
      <c r="B833" s="218" t="s">
        <v>397</v>
      </c>
      <c r="C833" s="218" t="s">
        <v>129</v>
      </c>
      <c r="D833" s="217" t="s">
        <v>119</v>
      </c>
      <c r="E833" s="217" t="s">
        <v>91</v>
      </c>
      <c r="F833" s="300"/>
      <c r="G833" s="344">
        <f>'Пр.4 Ведом23'!G1205</f>
        <v>635.06700000000001</v>
      </c>
      <c r="H833" s="344">
        <f>'Пр.4 Ведом23'!H1205</f>
        <v>635.06700000000001</v>
      </c>
      <c r="I833" s="102">
        <f t="shared" si="67"/>
        <v>100</v>
      </c>
      <c r="J833" s="266"/>
      <c r="K833" s="266"/>
      <c r="L833" s="266"/>
      <c r="M833" s="266"/>
      <c r="N833" s="266"/>
    </row>
    <row r="834" spans="1:14" s="131" customFormat="1" ht="47.25" x14ac:dyDescent="0.25">
      <c r="A834" s="26" t="s">
        <v>877</v>
      </c>
      <c r="B834" s="218" t="s">
        <v>397</v>
      </c>
      <c r="C834" s="218" t="s">
        <v>129</v>
      </c>
      <c r="D834" s="217" t="s">
        <v>119</v>
      </c>
      <c r="E834" s="217" t="s">
        <v>91</v>
      </c>
      <c r="F834" s="300">
        <v>908</v>
      </c>
      <c r="G834" s="344">
        <f>G833</f>
        <v>635.06700000000001</v>
      </c>
      <c r="H834" s="344">
        <f>H833</f>
        <v>635.06700000000001</v>
      </c>
      <c r="I834" s="102">
        <f t="shared" si="67"/>
        <v>100</v>
      </c>
      <c r="J834" s="125"/>
      <c r="K834" s="125"/>
      <c r="L834" s="125"/>
      <c r="M834" s="125"/>
      <c r="N834" s="125"/>
    </row>
    <row r="835" spans="1:14" s="75" customFormat="1" ht="31.5" hidden="1" x14ac:dyDescent="0.25">
      <c r="A835" s="22" t="s">
        <v>398</v>
      </c>
      <c r="B835" s="117" t="s">
        <v>399</v>
      </c>
      <c r="C835" s="218"/>
      <c r="D835" s="217"/>
      <c r="E835" s="6"/>
      <c r="F835" s="3"/>
      <c r="G835" s="302">
        <f t="shared" ref="G835:H839" si="75">G836</f>
        <v>0</v>
      </c>
      <c r="H835" s="567">
        <f t="shared" si="75"/>
        <v>0</v>
      </c>
      <c r="I835" s="102" t="e">
        <f t="shared" si="67"/>
        <v>#DIV/0!</v>
      </c>
      <c r="J835" s="125"/>
      <c r="K835" s="125"/>
      <c r="L835" s="125"/>
      <c r="M835" s="125"/>
      <c r="N835" s="125"/>
    </row>
    <row r="836" spans="1:14" s="131" customFormat="1" ht="15.75" hidden="1" x14ac:dyDescent="0.25">
      <c r="A836" s="19" t="s">
        <v>184</v>
      </c>
      <c r="B836" s="218" t="s">
        <v>399</v>
      </c>
      <c r="C836" s="218" t="s">
        <v>129</v>
      </c>
      <c r="D836" s="217"/>
      <c r="E836" s="6"/>
      <c r="F836" s="3"/>
      <c r="G836" s="344">
        <f t="shared" si="75"/>
        <v>0</v>
      </c>
      <c r="H836" s="344">
        <f t="shared" si="75"/>
        <v>0</v>
      </c>
      <c r="I836" s="102" t="e">
        <f t="shared" si="67"/>
        <v>#DIV/0!</v>
      </c>
      <c r="J836" s="125"/>
      <c r="K836" s="125"/>
      <c r="L836" s="125"/>
      <c r="M836" s="125"/>
      <c r="N836" s="125"/>
    </row>
    <row r="837" spans="1:14" s="131" customFormat="1" ht="15.75" hidden="1" x14ac:dyDescent="0.25">
      <c r="A837" s="19" t="s">
        <v>207</v>
      </c>
      <c r="B837" s="218" t="s">
        <v>399</v>
      </c>
      <c r="C837" s="218" t="s">
        <v>129</v>
      </c>
      <c r="D837" s="217" t="s">
        <v>119</v>
      </c>
      <c r="E837" s="6"/>
      <c r="F837" s="3"/>
      <c r="G837" s="344">
        <f t="shared" si="75"/>
        <v>0</v>
      </c>
      <c r="H837" s="344">
        <f t="shared" si="75"/>
        <v>0</v>
      </c>
      <c r="I837" s="102" t="e">
        <f t="shared" si="67"/>
        <v>#DIV/0!</v>
      </c>
      <c r="J837" s="125"/>
      <c r="K837" s="125"/>
      <c r="L837" s="125"/>
      <c r="M837" s="125"/>
      <c r="N837" s="125"/>
    </row>
    <row r="838" spans="1:14" s="75" customFormat="1" ht="15.75" hidden="1" x14ac:dyDescent="0.25">
      <c r="A838" s="26" t="s">
        <v>209</v>
      </c>
      <c r="B838" s="218" t="s">
        <v>402</v>
      </c>
      <c r="C838" s="218" t="s">
        <v>129</v>
      </c>
      <c r="D838" s="217" t="s">
        <v>119</v>
      </c>
      <c r="E838" s="217"/>
      <c r="F838" s="300"/>
      <c r="G838" s="344">
        <f t="shared" si="75"/>
        <v>0</v>
      </c>
      <c r="H838" s="344">
        <f t="shared" si="75"/>
        <v>0</v>
      </c>
      <c r="I838" s="102" t="e">
        <f t="shared" si="67"/>
        <v>#DIV/0!</v>
      </c>
      <c r="J838" s="125"/>
      <c r="K838" s="125"/>
      <c r="L838" s="125"/>
      <c r="M838" s="125"/>
      <c r="N838" s="125"/>
    </row>
    <row r="839" spans="1:14" s="75" customFormat="1" ht="31.5" hidden="1" x14ac:dyDescent="0.25">
      <c r="A839" s="20" t="s">
        <v>88</v>
      </c>
      <c r="B839" s="218" t="s">
        <v>402</v>
      </c>
      <c r="C839" s="218" t="s">
        <v>129</v>
      </c>
      <c r="D839" s="217" t="s">
        <v>119</v>
      </c>
      <c r="E839" s="217" t="s">
        <v>89</v>
      </c>
      <c r="F839" s="300"/>
      <c r="G839" s="344">
        <f t="shared" si="75"/>
        <v>0</v>
      </c>
      <c r="H839" s="344">
        <f t="shared" si="75"/>
        <v>0</v>
      </c>
      <c r="I839" s="102" t="e">
        <f t="shared" si="67"/>
        <v>#DIV/0!</v>
      </c>
      <c r="J839" s="125"/>
      <c r="K839" s="125"/>
      <c r="L839" s="125"/>
      <c r="M839" s="125"/>
      <c r="N839" s="125"/>
    </row>
    <row r="840" spans="1:14" s="75" customFormat="1" ht="47.25" hidden="1" x14ac:dyDescent="0.25">
      <c r="A840" s="20" t="s">
        <v>90</v>
      </c>
      <c r="B840" s="218" t="s">
        <v>402</v>
      </c>
      <c r="C840" s="218" t="s">
        <v>129</v>
      </c>
      <c r="D840" s="217" t="s">
        <v>119</v>
      </c>
      <c r="E840" s="217" t="s">
        <v>91</v>
      </c>
      <c r="F840" s="300"/>
      <c r="G840" s="344">
        <f>'Пр.4 Ведом23'!G1209</f>
        <v>0</v>
      </c>
      <c r="H840" s="344">
        <f>'Пр.4 Ведом23'!H1209</f>
        <v>0</v>
      </c>
      <c r="I840" s="102" t="e">
        <f t="shared" si="67"/>
        <v>#DIV/0!</v>
      </c>
      <c r="J840" s="125"/>
      <c r="K840" s="125"/>
      <c r="L840" s="125"/>
      <c r="M840" s="125"/>
      <c r="N840" s="125"/>
    </row>
    <row r="841" spans="1:14" s="131" customFormat="1" ht="47.25" hidden="1" x14ac:dyDescent="0.25">
      <c r="A841" s="26" t="s">
        <v>877</v>
      </c>
      <c r="B841" s="218" t="s">
        <v>402</v>
      </c>
      <c r="C841" s="218" t="s">
        <v>129</v>
      </c>
      <c r="D841" s="217" t="s">
        <v>119</v>
      </c>
      <c r="E841" s="217" t="s">
        <v>91</v>
      </c>
      <c r="F841" s="300">
        <v>908</v>
      </c>
      <c r="G841" s="344">
        <f>G840</f>
        <v>0</v>
      </c>
      <c r="H841" s="344">
        <f>H840</f>
        <v>0</v>
      </c>
      <c r="I841" s="102" t="e">
        <f t="shared" si="67"/>
        <v>#DIV/0!</v>
      </c>
      <c r="J841" s="125"/>
      <c r="K841" s="125"/>
      <c r="L841" s="125"/>
      <c r="M841" s="125"/>
      <c r="N841" s="125"/>
    </row>
    <row r="842" spans="1:14" s="75" customFormat="1" ht="31.5" hidden="1" x14ac:dyDescent="0.25">
      <c r="A842" s="30" t="s">
        <v>400</v>
      </c>
      <c r="B842" s="117" t="s">
        <v>401</v>
      </c>
      <c r="C842" s="218"/>
      <c r="D842" s="217"/>
      <c r="E842" s="6"/>
      <c r="F842" s="300"/>
      <c r="G842" s="302">
        <f t="shared" ref="G842:H846" si="76">G843</f>
        <v>0</v>
      </c>
      <c r="H842" s="567">
        <f t="shared" si="76"/>
        <v>0</v>
      </c>
      <c r="I842" s="102" t="e">
        <f t="shared" si="67"/>
        <v>#DIV/0!</v>
      </c>
      <c r="J842" s="125"/>
      <c r="K842" s="125"/>
      <c r="L842" s="125"/>
      <c r="M842" s="125"/>
      <c r="N842" s="125"/>
    </row>
    <row r="843" spans="1:14" s="131" customFormat="1" ht="15.75" hidden="1" x14ac:dyDescent="0.25">
      <c r="A843" s="19" t="s">
        <v>184</v>
      </c>
      <c r="B843" s="218" t="s">
        <v>401</v>
      </c>
      <c r="C843" s="218" t="s">
        <v>129</v>
      </c>
      <c r="D843" s="217"/>
      <c r="E843" s="6"/>
      <c r="F843" s="300"/>
      <c r="G843" s="344">
        <f t="shared" si="76"/>
        <v>0</v>
      </c>
      <c r="H843" s="344">
        <f t="shared" si="76"/>
        <v>0</v>
      </c>
      <c r="I843" s="102" t="e">
        <f t="shared" si="67"/>
        <v>#DIV/0!</v>
      </c>
      <c r="J843" s="125"/>
      <c r="K843" s="125"/>
      <c r="L843" s="125"/>
      <c r="M843" s="125"/>
      <c r="N843" s="125"/>
    </row>
    <row r="844" spans="1:14" s="131" customFormat="1" ht="15.75" hidden="1" x14ac:dyDescent="0.25">
      <c r="A844" s="19" t="s">
        <v>207</v>
      </c>
      <c r="B844" s="218" t="s">
        <v>401</v>
      </c>
      <c r="C844" s="218" t="s">
        <v>129</v>
      </c>
      <c r="D844" s="217" t="s">
        <v>119</v>
      </c>
      <c r="E844" s="6"/>
      <c r="F844" s="300"/>
      <c r="G844" s="344">
        <f t="shared" si="76"/>
        <v>0</v>
      </c>
      <c r="H844" s="344">
        <f t="shared" si="76"/>
        <v>0</v>
      </c>
      <c r="I844" s="102" t="e">
        <f t="shared" si="67"/>
        <v>#DIV/0!</v>
      </c>
      <c r="J844" s="125"/>
      <c r="K844" s="125"/>
      <c r="L844" s="125"/>
      <c r="M844" s="125"/>
      <c r="N844" s="125"/>
    </row>
    <row r="845" spans="1:14" s="75" customFormat="1" ht="15.75" hidden="1" x14ac:dyDescent="0.25">
      <c r="A845" s="26" t="s">
        <v>210</v>
      </c>
      <c r="B845" s="218" t="s">
        <v>403</v>
      </c>
      <c r="C845" s="218" t="s">
        <v>129</v>
      </c>
      <c r="D845" s="217" t="s">
        <v>119</v>
      </c>
      <c r="E845" s="217"/>
      <c r="F845" s="300"/>
      <c r="G845" s="344">
        <f t="shared" si="76"/>
        <v>0</v>
      </c>
      <c r="H845" s="344">
        <f t="shared" si="76"/>
        <v>0</v>
      </c>
      <c r="I845" s="102" t="e">
        <f t="shared" si="67"/>
        <v>#DIV/0!</v>
      </c>
      <c r="J845" s="125"/>
      <c r="K845" s="125"/>
      <c r="L845" s="125"/>
      <c r="M845" s="125"/>
      <c r="N845" s="125"/>
    </row>
    <row r="846" spans="1:14" s="75" customFormat="1" ht="31.5" hidden="1" x14ac:dyDescent="0.25">
      <c r="A846" s="20" t="s">
        <v>88</v>
      </c>
      <c r="B846" s="218" t="s">
        <v>403</v>
      </c>
      <c r="C846" s="218" t="s">
        <v>129</v>
      </c>
      <c r="D846" s="217" t="s">
        <v>119</v>
      </c>
      <c r="E846" s="217" t="s">
        <v>89</v>
      </c>
      <c r="F846" s="300"/>
      <c r="G846" s="344">
        <f t="shared" si="76"/>
        <v>0</v>
      </c>
      <c r="H846" s="344">
        <f t="shared" si="76"/>
        <v>0</v>
      </c>
      <c r="I846" s="102" t="e">
        <f t="shared" si="67"/>
        <v>#DIV/0!</v>
      </c>
      <c r="J846" s="125"/>
      <c r="K846" s="125"/>
      <c r="L846" s="125"/>
      <c r="M846" s="125"/>
      <c r="N846" s="125"/>
    </row>
    <row r="847" spans="1:14" s="75" customFormat="1" ht="47.25" hidden="1" x14ac:dyDescent="0.25">
      <c r="A847" s="20" t="s">
        <v>90</v>
      </c>
      <c r="B847" s="218" t="s">
        <v>403</v>
      </c>
      <c r="C847" s="218" t="s">
        <v>129</v>
      </c>
      <c r="D847" s="217" t="s">
        <v>119</v>
      </c>
      <c r="E847" s="217" t="s">
        <v>91</v>
      </c>
      <c r="F847" s="300"/>
      <c r="G847" s="344">
        <f>'Пр.4 Ведом23'!G1215</f>
        <v>0</v>
      </c>
      <c r="H847" s="344">
        <f>'Пр.4 Ведом23'!H1215</f>
        <v>0</v>
      </c>
      <c r="I847" s="102" t="e">
        <f t="shared" si="67"/>
        <v>#DIV/0!</v>
      </c>
      <c r="J847" s="125"/>
      <c r="K847" s="125"/>
      <c r="L847" s="125"/>
      <c r="M847" s="125"/>
      <c r="N847" s="125"/>
    </row>
    <row r="848" spans="1:14" s="131" customFormat="1" ht="47.25" hidden="1" x14ac:dyDescent="0.25">
      <c r="A848" s="26" t="s">
        <v>877</v>
      </c>
      <c r="B848" s="218" t="s">
        <v>403</v>
      </c>
      <c r="C848" s="218" t="s">
        <v>129</v>
      </c>
      <c r="D848" s="217" t="s">
        <v>119</v>
      </c>
      <c r="E848" s="217" t="s">
        <v>91</v>
      </c>
      <c r="F848" s="300">
        <v>908</v>
      </c>
      <c r="G848" s="344">
        <f>G847</f>
        <v>0</v>
      </c>
      <c r="H848" s="344">
        <f>H847</f>
        <v>0</v>
      </c>
      <c r="I848" s="102" t="e">
        <f t="shared" si="67"/>
        <v>#DIV/0!</v>
      </c>
      <c r="J848" s="125"/>
      <c r="K848" s="125"/>
      <c r="L848" s="125"/>
      <c r="M848" s="125"/>
      <c r="N848" s="125"/>
    </row>
    <row r="849" spans="1:14" s="75" customFormat="1" ht="31.5" hidden="1" x14ac:dyDescent="0.25">
      <c r="A849" s="30" t="s">
        <v>404</v>
      </c>
      <c r="B849" s="117" t="s">
        <v>405</v>
      </c>
      <c r="C849" s="218"/>
      <c r="D849" s="217"/>
      <c r="E849" s="6"/>
      <c r="F849" s="300"/>
      <c r="G849" s="302">
        <f t="shared" ref="G849:H853" si="77">G850</f>
        <v>0</v>
      </c>
      <c r="H849" s="567">
        <f t="shared" si="77"/>
        <v>0</v>
      </c>
      <c r="I849" s="102" t="e">
        <f t="shared" ref="I849:I912" si="78">H849/G849*100</f>
        <v>#DIV/0!</v>
      </c>
      <c r="J849" s="125"/>
      <c r="K849" s="125"/>
      <c r="L849" s="125"/>
      <c r="M849" s="125"/>
      <c r="N849" s="125"/>
    </row>
    <row r="850" spans="1:14" s="131" customFormat="1" ht="15.75" hidden="1" x14ac:dyDescent="0.25">
      <c r="A850" s="19" t="s">
        <v>184</v>
      </c>
      <c r="B850" s="218" t="s">
        <v>405</v>
      </c>
      <c r="C850" s="218" t="s">
        <v>129</v>
      </c>
      <c r="D850" s="217"/>
      <c r="E850" s="6"/>
      <c r="F850" s="300"/>
      <c r="G850" s="344">
        <f t="shared" si="77"/>
        <v>0</v>
      </c>
      <c r="H850" s="344">
        <f t="shared" si="77"/>
        <v>0</v>
      </c>
      <c r="I850" s="102" t="e">
        <f t="shared" si="78"/>
        <v>#DIV/0!</v>
      </c>
      <c r="J850" s="125"/>
      <c r="K850" s="125"/>
      <c r="L850" s="125"/>
      <c r="M850" s="125"/>
      <c r="N850" s="125"/>
    </row>
    <row r="851" spans="1:14" s="131" customFormat="1" ht="15.75" hidden="1" x14ac:dyDescent="0.25">
      <c r="A851" s="19" t="s">
        <v>207</v>
      </c>
      <c r="B851" s="218" t="s">
        <v>405</v>
      </c>
      <c r="C851" s="218" t="s">
        <v>129</v>
      </c>
      <c r="D851" s="217" t="s">
        <v>119</v>
      </c>
      <c r="E851" s="6"/>
      <c r="F851" s="300"/>
      <c r="G851" s="344">
        <f t="shared" si="77"/>
        <v>0</v>
      </c>
      <c r="H851" s="344">
        <f t="shared" si="77"/>
        <v>0</v>
      </c>
      <c r="I851" s="102" t="e">
        <f t="shared" si="78"/>
        <v>#DIV/0!</v>
      </c>
      <c r="J851" s="125"/>
      <c r="K851" s="125"/>
      <c r="L851" s="125"/>
      <c r="M851" s="125"/>
      <c r="N851" s="125"/>
    </row>
    <row r="852" spans="1:14" s="75" customFormat="1" ht="15.75" hidden="1" x14ac:dyDescent="0.25">
      <c r="A852" s="26" t="s">
        <v>211</v>
      </c>
      <c r="B852" s="218" t="s">
        <v>406</v>
      </c>
      <c r="C852" s="218" t="s">
        <v>129</v>
      </c>
      <c r="D852" s="217" t="s">
        <v>119</v>
      </c>
      <c r="E852" s="217"/>
      <c r="F852" s="300"/>
      <c r="G852" s="344">
        <f t="shared" si="77"/>
        <v>0</v>
      </c>
      <c r="H852" s="344">
        <f t="shared" si="77"/>
        <v>0</v>
      </c>
      <c r="I852" s="102" t="e">
        <f t="shared" si="78"/>
        <v>#DIV/0!</v>
      </c>
      <c r="J852" s="125"/>
      <c r="K852" s="125"/>
      <c r="L852" s="125"/>
      <c r="M852" s="125"/>
      <c r="N852" s="125"/>
    </row>
    <row r="853" spans="1:14" s="75" customFormat="1" ht="31.5" hidden="1" x14ac:dyDescent="0.25">
      <c r="A853" s="20" t="s">
        <v>88</v>
      </c>
      <c r="B853" s="218" t="s">
        <v>406</v>
      </c>
      <c r="C853" s="218" t="s">
        <v>129</v>
      </c>
      <c r="D853" s="217" t="s">
        <v>119</v>
      </c>
      <c r="E853" s="217" t="s">
        <v>89</v>
      </c>
      <c r="F853" s="300"/>
      <c r="G853" s="344">
        <f t="shared" si="77"/>
        <v>0</v>
      </c>
      <c r="H853" s="344">
        <f t="shared" si="77"/>
        <v>0</v>
      </c>
      <c r="I853" s="102" t="e">
        <f t="shared" si="78"/>
        <v>#DIV/0!</v>
      </c>
      <c r="J853" s="125"/>
      <c r="K853" s="125"/>
      <c r="L853" s="125"/>
      <c r="M853" s="125"/>
      <c r="N853" s="125"/>
    </row>
    <row r="854" spans="1:14" s="75" customFormat="1" ht="47.25" hidden="1" x14ac:dyDescent="0.25">
      <c r="A854" s="20" t="s">
        <v>90</v>
      </c>
      <c r="B854" s="218" t="s">
        <v>406</v>
      </c>
      <c r="C854" s="218" t="s">
        <v>129</v>
      </c>
      <c r="D854" s="217" t="s">
        <v>119</v>
      </c>
      <c r="E854" s="217" t="s">
        <v>91</v>
      </c>
      <c r="F854" s="300"/>
      <c r="G854" s="344">
        <f>'Пр.4 Ведом23'!G1219</f>
        <v>0</v>
      </c>
      <c r="H854" s="344">
        <f>'Пр.4 Ведом23'!H1219</f>
        <v>0</v>
      </c>
      <c r="I854" s="102" t="e">
        <f t="shared" si="78"/>
        <v>#DIV/0!</v>
      </c>
      <c r="J854" s="125"/>
      <c r="K854" s="125"/>
      <c r="L854" s="125"/>
      <c r="M854" s="125"/>
      <c r="N854" s="125"/>
    </row>
    <row r="855" spans="1:14" s="131" customFormat="1" ht="47.25" hidden="1" x14ac:dyDescent="0.25">
      <c r="A855" s="26" t="s">
        <v>877</v>
      </c>
      <c r="B855" s="218" t="s">
        <v>406</v>
      </c>
      <c r="C855" s="218" t="s">
        <v>129</v>
      </c>
      <c r="D855" s="217" t="s">
        <v>119</v>
      </c>
      <c r="E855" s="217" t="s">
        <v>91</v>
      </c>
      <c r="F855" s="300">
        <v>908</v>
      </c>
      <c r="G855" s="344">
        <f>G854</f>
        <v>0</v>
      </c>
      <c r="H855" s="344">
        <f>H854</f>
        <v>0</v>
      </c>
      <c r="I855" s="102" t="e">
        <f t="shared" si="78"/>
        <v>#DIV/0!</v>
      </c>
      <c r="J855" s="125"/>
      <c r="K855" s="125"/>
      <c r="L855" s="125"/>
      <c r="M855" s="125"/>
      <c r="N855" s="125"/>
    </row>
    <row r="856" spans="1:14" s="75" customFormat="1" ht="31.5" hidden="1" x14ac:dyDescent="0.25">
      <c r="A856" s="22" t="s">
        <v>442</v>
      </c>
      <c r="B856" s="117" t="s">
        <v>443</v>
      </c>
      <c r="C856" s="218" t="s">
        <v>129</v>
      </c>
      <c r="D856" s="217" t="s">
        <v>119</v>
      </c>
      <c r="E856" s="6"/>
      <c r="F856" s="300"/>
      <c r="G856" s="302">
        <f t="shared" ref="G856:H860" si="79">G857</f>
        <v>0</v>
      </c>
      <c r="H856" s="567">
        <f t="shared" si="79"/>
        <v>0</v>
      </c>
      <c r="I856" s="102" t="e">
        <f t="shared" si="78"/>
        <v>#DIV/0!</v>
      </c>
      <c r="J856" s="125"/>
      <c r="K856" s="125"/>
      <c r="L856" s="125"/>
      <c r="M856" s="125"/>
      <c r="N856" s="125"/>
    </row>
    <row r="857" spans="1:14" s="131" customFormat="1" ht="15.75" hidden="1" x14ac:dyDescent="0.25">
      <c r="A857" s="19" t="s">
        <v>184</v>
      </c>
      <c r="B857" s="218" t="s">
        <v>443</v>
      </c>
      <c r="C857" s="218" t="s">
        <v>129</v>
      </c>
      <c r="D857" s="217"/>
      <c r="E857" s="6"/>
      <c r="F857" s="300"/>
      <c r="G857" s="344">
        <f t="shared" si="79"/>
        <v>0</v>
      </c>
      <c r="H857" s="344">
        <f t="shared" si="79"/>
        <v>0</v>
      </c>
      <c r="I857" s="102" t="e">
        <f t="shared" si="78"/>
        <v>#DIV/0!</v>
      </c>
      <c r="J857" s="125"/>
      <c r="K857" s="125"/>
      <c r="L857" s="125"/>
      <c r="M857" s="125"/>
      <c r="N857" s="125"/>
    </row>
    <row r="858" spans="1:14" s="131" customFormat="1" ht="15.75" hidden="1" x14ac:dyDescent="0.25">
      <c r="A858" s="19" t="s">
        <v>207</v>
      </c>
      <c r="B858" s="218" t="s">
        <v>443</v>
      </c>
      <c r="C858" s="218" t="s">
        <v>129</v>
      </c>
      <c r="D858" s="217" t="s">
        <v>119</v>
      </c>
      <c r="E858" s="6"/>
      <c r="F858" s="300"/>
      <c r="G858" s="344">
        <f t="shared" si="79"/>
        <v>0</v>
      </c>
      <c r="H858" s="344">
        <f t="shared" si="79"/>
        <v>0</v>
      </c>
      <c r="I858" s="102" t="e">
        <f t="shared" si="78"/>
        <v>#DIV/0!</v>
      </c>
      <c r="J858" s="125"/>
      <c r="K858" s="125"/>
      <c r="L858" s="125"/>
      <c r="M858" s="125"/>
      <c r="N858" s="125"/>
    </row>
    <row r="859" spans="1:14" s="75" customFormat="1" ht="15.75" hidden="1" x14ac:dyDescent="0.25">
      <c r="A859" s="26" t="s">
        <v>212</v>
      </c>
      <c r="B859" s="218" t="s">
        <v>446</v>
      </c>
      <c r="C859" s="218" t="s">
        <v>129</v>
      </c>
      <c r="D859" s="217" t="s">
        <v>119</v>
      </c>
      <c r="E859" s="217"/>
      <c r="F859" s="300"/>
      <c r="G859" s="344">
        <f t="shared" si="79"/>
        <v>0</v>
      </c>
      <c r="H859" s="344">
        <f t="shared" si="79"/>
        <v>0</v>
      </c>
      <c r="I859" s="102" t="e">
        <f t="shared" si="78"/>
        <v>#DIV/0!</v>
      </c>
      <c r="J859" s="125"/>
      <c r="K859" s="125"/>
      <c r="L859" s="125"/>
      <c r="M859" s="125"/>
      <c r="N859" s="125"/>
    </row>
    <row r="860" spans="1:14" s="75" customFormat="1" ht="31.5" hidden="1" x14ac:dyDescent="0.25">
      <c r="A860" s="20" t="s">
        <v>88</v>
      </c>
      <c r="B860" s="218" t="s">
        <v>446</v>
      </c>
      <c r="C860" s="218" t="s">
        <v>129</v>
      </c>
      <c r="D860" s="217" t="s">
        <v>119</v>
      </c>
      <c r="E860" s="217" t="s">
        <v>89</v>
      </c>
      <c r="F860" s="300"/>
      <c r="G860" s="344">
        <f t="shared" si="79"/>
        <v>0</v>
      </c>
      <c r="H860" s="344">
        <f t="shared" si="79"/>
        <v>0</v>
      </c>
      <c r="I860" s="102" t="e">
        <f t="shared" si="78"/>
        <v>#DIV/0!</v>
      </c>
      <c r="J860" s="125"/>
      <c r="K860" s="125"/>
      <c r="L860" s="125"/>
      <c r="M860" s="125"/>
      <c r="N860" s="125"/>
    </row>
    <row r="861" spans="1:14" s="75" customFormat="1" ht="47.25" hidden="1" x14ac:dyDescent="0.25">
      <c r="A861" s="20" t="s">
        <v>90</v>
      </c>
      <c r="B861" s="218" t="s">
        <v>446</v>
      </c>
      <c r="C861" s="218" t="s">
        <v>129</v>
      </c>
      <c r="D861" s="217" t="s">
        <v>119</v>
      </c>
      <c r="E861" s="217" t="s">
        <v>91</v>
      </c>
      <c r="F861" s="300"/>
      <c r="G861" s="344">
        <f>'Пр.4 Ведом23'!G1223</f>
        <v>0</v>
      </c>
      <c r="H861" s="344">
        <f>'Пр.4 Ведом23'!H1223</f>
        <v>0</v>
      </c>
      <c r="I861" s="102" t="e">
        <f t="shared" si="78"/>
        <v>#DIV/0!</v>
      </c>
      <c r="J861" s="125"/>
      <c r="K861" s="125"/>
      <c r="L861" s="125"/>
      <c r="M861" s="125"/>
      <c r="N861" s="125"/>
    </row>
    <row r="862" spans="1:14" s="131" customFormat="1" ht="47.25" hidden="1" x14ac:dyDescent="0.25">
      <c r="A862" s="26" t="s">
        <v>877</v>
      </c>
      <c r="B862" s="218" t="s">
        <v>446</v>
      </c>
      <c r="C862" s="218" t="s">
        <v>129</v>
      </c>
      <c r="D862" s="217" t="s">
        <v>119</v>
      </c>
      <c r="E862" s="217" t="s">
        <v>91</v>
      </c>
      <c r="F862" s="300">
        <v>908</v>
      </c>
      <c r="G862" s="344">
        <f>G861</f>
        <v>0</v>
      </c>
      <c r="H862" s="344">
        <f>H861</f>
        <v>0</v>
      </c>
      <c r="I862" s="102" t="e">
        <f t="shared" si="78"/>
        <v>#DIV/0!</v>
      </c>
      <c r="J862" s="125"/>
      <c r="K862" s="125"/>
      <c r="L862" s="125"/>
      <c r="M862" s="125"/>
      <c r="N862" s="125"/>
    </row>
    <row r="863" spans="1:14" s="75" customFormat="1" ht="31.5" hidden="1" x14ac:dyDescent="0.25">
      <c r="A863" s="81" t="s">
        <v>444</v>
      </c>
      <c r="B863" s="117" t="s">
        <v>445</v>
      </c>
      <c r="C863" s="218"/>
      <c r="D863" s="217"/>
      <c r="E863" s="6"/>
      <c r="F863" s="300"/>
      <c r="G863" s="302">
        <f t="shared" ref="G863:H867" si="80">G864</f>
        <v>0</v>
      </c>
      <c r="H863" s="567">
        <f t="shared" si="80"/>
        <v>0</v>
      </c>
      <c r="I863" s="102" t="e">
        <f t="shared" si="78"/>
        <v>#DIV/0!</v>
      </c>
      <c r="J863" s="125"/>
      <c r="K863" s="125"/>
      <c r="L863" s="125"/>
      <c r="M863" s="125"/>
      <c r="N863" s="125"/>
    </row>
    <row r="864" spans="1:14" s="131" customFormat="1" ht="15.75" hidden="1" x14ac:dyDescent="0.25">
      <c r="A864" s="19" t="s">
        <v>184</v>
      </c>
      <c r="B864" s="218" t="s">
        <v>445</v>
      </c>
      <c r="C864" s="218" t="s">
        <v>129</v>
      </c>
      <c r="D864" s="217"/>
      <c r="E864" s="6"/>
      <c r="F864" s="300"/>
      <c r="G864" s="344">
        <f t="shared" si="80"/>
        <v>0</v>
      </c>
      <c r="H864" s="344">
        <f t="shared" si="80"/>
        <v>0</v>
      </c>
      <c r="I864" s="102" t="e">
        <f t="shared" si="78"/>
        <v>#DIV/0!</v>
      </c>
      <c r="J864" s="125"/>
      <c r="K864" s="125"/>
      <c r="L864" s="125"/>
      <c r="M864" s="125"/>
      <c r="N864" s="125"/>
    </row>
    <row r="865" spans="1:14" s="131" customFormat="1" ht="15.75" hidden="1" x14ac:dyDescent="0.25">
      <c r="A865" s="19" t="s">
        <v>207</v>
      </c>
      <c r="B865" s="218" t="s">
        <v>445</v>
      </c>
      <c r="C865" s="218" t="s">
        <v>129</v>
      </c>
      <c r="D865" s="217" t="s">
        <v>119</v>
      </c>
      <c r="E865" s="6"/>
      <c r="F865" s="300"/>
      <c r="G865" s="344">
        <f t="shared" si="80"/>
        <v>0</v>
      </c>
      <c r="H865" s="344">
        <f t="shared" si="80"/>
        <v>0</v>
      </c>
      <c r="I865" s="102" t="e">
        <f t="shared" si="78"/>
        <v>#DIV/0!</v>
      </c>
      <c r="J865" s="125"/>
      <c r="K865" s="125"/>
      <c r="L865" s="125"/>
      <c r="M865" s="125"/>
      <c r="N865" s="125"/>
    </row>
    <row r="866" spans="1:14" s="75" customFormat="1" ht="31.5" hidden="1" x14ac:dyDescent="0.25">
      <c r="A866" s="66" t="s">
        <v>213</v>
      </c>
      <c r="B866" s="218" t="s">
        <v>447</v>
      </c>
      <c r="C866" s="218" t="s">
        <v>129</v>
      </c>
      <c r="D866" s="217" t="s">
        <v>119</v>
      </c>
      <c r="E866" s="217"/>
      <c r="F866" s="300"/>
      <c r="G866" s="344">
        <f t="shared" si="80"/>
        <v>0</v>
      </c>
      <c r="H866" s="344">
        <f t="shared" si="80"/>
        <v>0</v>
      </c>
      <c r="I866" s="102" t="e">
        <f t="shared" si="78"/>
        <v>#DIV/0!</v>
      </c>
      <c r="J866" s="125"/>
      <c r="K866" s="125"/>
      <c r="L866" s="125"/>
      <c r="M866" s="125"/>
      <c r="N866" s="125"/>
    </row>
    <row r="867" spans="1:14" s="75" customFormat="1" ht="31.5" hidden="1" x14ac:dyDescent="0.25">
      <c r="A867" s="20" t="s">
        <v>88</v>
      </c>
      <c r="B867" s="218" t="s">
        <v>447</v>
      </c>
      <c r="C867" s="218" t="s">
        <v>129</v>
      </c>
      <c r="D867" s="217" t="s">
        <v>119</v>
      </c>
      <c r="E867" s="217" t="s">
        <v>89</v>
      </c>
      <c r="F867" s="300"/>
      <c r="G867" s="344">
        <f t="shared" si="80"/>
        <v>0</v>
      </c>
      <c r="H867" s="344">
        <f t="shared" si="80"/>
        <v>0</v>
      </c>
      <c r="I867" s="102" t="e">
        <f t="shared" si="78"/>
        <v>#DIV/0!</v>
      </c>
      <c r="J867" s="125"/>
      <c r="K867" s="125"/>
      <c r="L867" s="125"/>
      <c r="M867" s="125"/>
      <c r="N867" s="125"/>
    </row>
    <row r="868" spans="1:14" s="75" customFormat="1" ht="47.25" hidden="1" x14ac:dyDescent="0.25">
      <c r="A868" s="20" t="s">
        <v>90</v>
      </c>
      <c r="B868" s="218" t="s">
        <v>447</v>
      </c>
      <c r="C868" s="218" t="s">
        <v>129</v>
      </c>
      <c r="D868" s="217" t="s">
        <v>119</v>
      </c>
      <c r="E868" s="217" t="s">
        <v>91</v>
      </c>
      <c r="F868" s="300"/>
      <c r="G868" s="344">
        <f>'Пр.4 Ведом23'!G1227</f>
        <v>0</v>
      </c>
      <c r="H868" s="344">
        <f>'Пр.4 Ведом23'!H1227</f>
        <v>0</v>
      </c>
      <c r="I868" s="102" t="e">
        <f t="shared" si="78"/>
        <v>#DIV/0!</v>
      </c>
      <c r="J868" s="125"/>
      <c r="K868" s="125"/>
      <c r="L868" s="125"/>
      <c r="M868" s="125"/>
      <c r="N868" s="125"/>
    </row>
    <row r="869" spans="1:14" s="131" customFormat="1" ht="47.25" hidden="1" x14ac:dyDescent="0.25">
      <c r="A869" s="26" t="s">
        <v>877</v>
      </c>
      <c r="B869" s="218" t="s">
        <v>447</v>
      </c>
      <c r="C869" s="218" t="s">
        <v>129</v>
      </c>
      <c r="D869" s="217" t="s">
        <v>119</v>
      </c>
      <c r="E869" s="217" t="s">
        <v>91</v>
      </c>
      <c r="F869" s="300">
        <v>908</v>
      </c>
      <c r="G869" s="344">
        <f>G868</f>
        <v>0</v>
      </c>
      <c r="H869" s="344">
        <f>H868</f>
        <v>0</v>
      </c>
      <c r="I869" s="102" t="e">
        <f t="shared" si="78"/>
        <v>#DIV/0!</v>
      </c>
      <c r="J869" s="125"/>
      <c r="K869" s="125"/>
      <c r="L869" s="125"/>
      <c r="M869" s="125"/>
      <c r="N869" s="125"/>
    </row>
    <row r="870" spans="1:14" s="75" customFormat="1" ht="31.5" hidden="1" x14ac:dyDescent="0.25">
      <c r="A870" s="81" t="s">
        <v>408</v>
      </c>
      <c r="B870" s="117" t="s">
        <v>409</v>
      </c>
      <c r="C870" s="218"/>
      <c r="D870" s="217"/>
      <c r="E870" s="6"/>
      <c r="F870" s="300"/>
      <c r="G870" s="302">
        <f t="shared" ref="G870:H874" si="81">G871</f>
        <v>13.55</v>
      </c>
      <c r="H870" s="567">
        <f t="shared" si="81"/>
        <v>13.55</v>
      </c>
      <c r="I870" s="102">
        <f t="shared" si="78"/>
        <v>100</v>
      </c>
      <c r="J870" s="125"/>
      <c r="K870" s="125"/>
      <c r="L870" s="125"/>
      <c r="M870" s="125"/>
      <c r="N870" s="125"/>
    </row>
    <row r="871" spans="1:14" s="131" customFormat="1" ht="15.75" hidden="1" x14ac:dyDescent="0.25">
      <c r="A871" s="19" t="s">
        <v>184</v>
      </c>
      <c r="B871" s="218" t="s">
        <v>409</v>
      </c>
      <c r="C871" s="218" t="s">
        <v>129</v>
      </c>
      <c r="D871" s="217"/>
      <c r="E871" s="6"/>
      <c r="F871" s="300"/>
      <c r="G871" s="344">
        <f t="shared" si="81"/>
        <v>13.55</v>
      </c>
      <c r="H871" s="344">
        <f t="shared" si="81"/>
        <v>13.55</v>
      </c>
      <c r="I871" s="102">
        <f t="shared" si="78"/>
        <v>100</v>
      </c>
      <c r="J871" s="125"/>
      <c r="K871" s="125"/>
      <c r="L871" s="125"/>
      <c r="M871" s="125"/>
      <c r="N871" s="125"/>
    </row>
    <row r="872" spans="1:14" s="131" customFormat="1" ht="15.75" hidden="1" x14ac:dyDescent="0.25">
      <c r="A872" s="19" t="s">
        <v>207</v>
      </c>
      <c r="B872" s="218" t="s">
        <v>409</v>
      </c>
      <c r="C872" s="218" t="s">
        <v>129</v>
      </c>
      <c r="D872" s="217" t="s">
        <v>119</v>
      </c>
      <c r="E872" s="6"/>
      <c r="F872" s="300"/>
      <c r="G872" s="344">
        <f t="shared" si="81"/>
        <v>13.55</v>
      </c>
      <c r="H872" s="344">
        <f t="shared" si="81"/>
        <v>13.55</v>
      </c>
      <c r="I872" s="102">
        <f t="shared" si="78"/>
        <v>100</v>
      </c>
      <c r="J872" s="125"/>
      <c r="K872" s="125"/>
      <c r="L872" s="125"/>
      <c r="M872" s="125"/>
      <c r="N872" s="125"/>
    </row>
    <row r="873" spans="1:14" s="131" customFormat="1" ht="15.75" hidden="1" x14ac:dyDescent="0.25">
      <c r="A873" s="66" t="s">
        <v>214</v>
      </c>
      <c r="B873" s="218" t="s">
        <v>407</v>
      </c>
      <c r="C873" s="218" t="s">
        <v>129</v>
      </c>
      <c r="D873" s="217" t="s">
        <v>119</v>
      </c>
      <c r="E873" s="217"/>
      <c r="F873" s="300"/>
      <c r="G873" s="344">
        <f t="shared" si="81"/>
        <v>13.55</v>
      </c>
      <c r="H873" s="344">
        <f t="shared" si="81"/>
        <v>13.55</v>
      </c>
      <c r="I873" s="102">
        <f t="shared" si="78"/>
        <v>100</v>
      </c>
      <c r="J873" s="125"/>
      <c r="K873" s="125"/>
      <c r="L873" s="125"/>
      <c r="M873" s="125"/>
      <c r="N873" s="125"/>
    </row>
    <row r="874" spans="1:14" s="131" customFormat="1" ht="31.5" hidden="1" x14ac:dyDescent="0.25">
      <c r="A874" s="215" t="s">
        <v>88</v>
      </c>
      <c r="B874" s="218" t="s">
        <v>407</v>
      </c>
      <c r="C874" s="218" t="s">
        <v>129</v>
      </c>
      <c r="D874" s="217" t="s">
        <v>119</v>
      </c>
      <c r="E874" s="217" t="s">
        <v>89</v>
      </c>
      <c r="F874" s="300"/>
      <c r="G874" s="344">
        <f t="shared" si="81"/>
        <v>13.55</v>
      </c>
      <c r="H874" s="344">
        <f t="shared" si="81"/>
        <v>13.55</v>
      </c>
      <c r="I874" s="102">
        <f t="shared" si="78"/>
        <v>100</v>
      </c>
      <c r="J874" s="125"/>
      <c r="K874" s="125"/>
      <c r="L874" s="125"/>
      <c r="M874" s="125"/>
      <c r="N874" s="125"/>
    </row>
    <row r="875" spans="1:14" s="131" customFormat="1" ht="47.25" hidden="1" x14ac:dyDescent="0.25">
      <c r="A875" s="215" t="s">
        <v>90</v>
      </c>
      <c r="B875" s="218" t="s">
        <v>407</v>
      </c>
      <c r="C875" s="218" t="s">
        <v>129</v>
      </c>
      <c r="D875" s="217" t="s">
        <v>119</v>
      </c>
      <c r="E875" s="217" t="s">
        <v>91</v>
      </c>
      <c r="F875" s="300"/>
      <c r="G875" s="344">
        <f>'Пр.4 Ведом23'!G1231</f>
        <v>13.55</v>
      </c>
      <c r="H875" s="344">
        <f>'Пр.4 Ведом23'!H1231</f>
        <v>13.55</v>
      </c>
      <c r="I875" s="102">
        <f t="shared" si="78"/>
        <v>100</v>
      </c>
      <c r="J875" s="125"/>
      <c r="K875" s="125"/>
      <c r="L875" s="125"/>
      <c r="M875" s="125"/>
      <c r="N875" s="125"/>
    </row>
    <row r="876" spans="1:14" s="131" customFormat="1" ht="47.25" hidden="1" x14ac:dyDescent="0.25">
      <c r="A876" s="26" t="s">
        <v>877</v>
      </c>
      <c r="B876" s="218" t="s">
        <v>407</v>
      </c>
      <c r="C876" s="218" t="s">
        <v>129</v>
      </c>
      <c r="D876" s="217" t="s">
        <v>119</v>
      </c>
      <c r="E876" s="217" t="s">
        <v>91</v>
      </c>
      <c r="F876" s="300">
        <v>908</v>
      </c>
      <c r="G876" s="344">
        <f>G875</f>
        <v>13.55</v>
      </c>
      <c r="H876" s="344">
        <f>H875</f>
        <v>13.55</v>
      </c>
      <c r="I876" s="102">
        <f t="shared" si="78"/>
        <v>100</v>
      </c>
      <c r="J876" s="125"/>
      <c r="K876" s="125"/>
      <c r="L876" s="125"/>
      <c r="M876" s="125"/>
      <c r="N876" s="125"/>
    </row>
    <row r="877" spans="1:14" s="131" customFormat="1" ht="31.5" x14ac:dyDescent="0.25">
      <c r="A877" s="116" t="s">
        <v>814</v>
      </c>
      <c r="B877" s="117" t="s">
        <v>816</v>
      </c>
      <c r="C877" s="218"/>
      <c r="D877" s="217"/>
      <c r="E877" s="6"/>
      <c r="F877" s="300"/>
      <c r="G877" s="302">
        <f t="shared" ref="G877:H881" si="82">G878</f>
        <v>24242.74785</v>
      </c>
      <c r="H877" s="567">
        <f t="shared" si="82"/>
        <v>24242.74785</v>
      </c>
      <c r="I877" s="221">
        <f t="shared" si="78"/>
        <v>100</v>
      </c>
      <c r="J877" s="125"/>
      <c r="K877" s="125"/>
      <c r="L877" s="125"/>
      <c r="M877" s="125"/>
      <c r="N877" s="125"/>
    </row>
    <row r="878" spans="1:14" s="131" customFormat="1" ht="15.75" x14ac:dyDescent="0.25">
      <c r="A878" s="19" t="s">
        <v>184</v>
      </c>
      <c r="B878" s="218" t="s">
        <v>816</v>
      </c>
      <c r="C878" s="218" t="s">
        <v>129</v>
      </c>
      <c r="D878" s="217"/>
      <c r="E878" s="6"/>
      <c r="F878" s="300"/>
      <c r="G878" s="344">
        <f t="shared" si="82"/>
        <v>24242.74785</v>
      </c>
      <c r="H878" s="344">
        <f t="shared" si="82"/>
        <v>24242.74785</v>
      </c>
      <c r="I878" s="102">
        <f t="shared" si="78"/>
        <v>100</v>
      </c>
      <c r="J878" s="125"/>
      <c r="K878" s="125"/>
      <c r="L878" s="125"/>
      <c r="M878" s="125"/>
      <c r="N878" s="125"/>
    </row>
    <row r="879" spans="1:14" s="131" customFormat="1" ht="15.75" x14ac:dyDescent="0.25">
      <c r="A879" s="19" t="s">
        <v>207</v>
      </c>
      <c r="B879" s="218" t="s">
        <v>816</v>
      </c>
      <c r="C879" s="218" t="s">
        <v>129</v>
      </c>
      <c r="D879" s="217" t="s">
        <v>119</v>
      </c>
      <c r="E879" s="6"/>
      <c r="F879" s="300"/>
      <c r="G879" s="344">
        <f t="shared" si="82"/>
        <v>24242.74785</v>
      </c>
      <c r="H879" s="344">
        <f t="shared" si="82"/>
        <v>24242.74785</v>
      </c>
      <c r="I879" s="102">
        <f t="shared" si="78"/>
        <v>100</v>
      </c>
      <c r="J879" s="125"/>
      <c r="K879" s="125"/>
      <c r="L879" s="125"/>
      <c r="M879" s="125"/>
      <c r="N879" s="125"/>
    </row>
    <row r="880" spans="1:14" s="131" customFormat="1" ht="31.5" x14ac:dyDescent="0.25">
      <c r="A880" s="215" t="s">
        <v>817</v>
      </c>
      <c r="B880" s="218" t="s">
        <v>1055</v>
      </c>
      <c r="C880" s="218" t="s">
        <v>129</v>
      </c>
      <c r="D880" s="217" t="s">
        <v>119</v>
      </c>
      <c r="E880" s="217"/>
      <c r="F880" s="300"/>
      <c r="G880" s="344">
        <f t="shared" si="82"/>
        <v>24242.74785</v>
      </c>
      <c r="H880" s="344">
        <f t="shared" si="82"/>
        <v>24242.74785</v>
      </c>
      <c r="I880" s="102">
        <f t="shared" si="78"/>
        <v>100</v>
      </c>
      <c r="J880" s="125"/>
      <c r="K880" s="125"/>
      <c r="L880" s="125"/>
      <c r="M880" s="125"/>
      <c r="N880" s="125"/>
    </row>
    <row r="881" spans="1:14" s="131" customFormat="1" ht="31.5" x14ac:dyDescent="0.25">
      <c r="A881" s="215" t="s">
        <v>88</v>
      </c>
      <c r="B881" s="218" t="s">
        <v>1055</v>
      </c>
      <c r="C881" s="218" t="s">
        <v>129</v>
      </c>
      <c r="D881" s="217" t="s">
        <v>119</v>
      </c>
      <c r="E881" s="217" t="s">
        <v>89</v>
      </c>
      <c r="F881" s="300"/>
      <c r="G881" s="344">
        <f t="shared" si="82"/>
        <v>24242.74785</v>
      </c>
      <c r="H881" s="344">
        <f t="shared" si="82"/>
        <v>24242.74785</v>
      </c>
      <c r="I881" s="102">
        <f t="shared" si="78"/>
        <v>100</v>
      </c>
      <c r="J881" s="125"/>
      <c r="K881" s="125"/>
      <c r="L881" s="125"/>
      <c r="M881" s="125"/>
      <c r="N881" s="125"/>
    </row>
    <row r="882" spans="1:14" s="131" customFormat="1" ht="47.25" x14ac:dyDescent="0.25">
      <c r="A882" s="215" t="s">
        <v>90</v>
      </c>
      <c r="B882" s="218" t="s">
        <v>1055</v>
      </c>
      <c r="C882" s="218" t="s">
        <v>129</v>
      </c>
      <c r="D882" s="217" t="s">
        <v>119</v>
      </c>
      <c r="E882" s="217" t="s">
        <v>91</v>
      </c>
      <c r="F882" s="300"/>
      <c r="G882" s="344">
        <f>'Пр.4 Ведом23'!G1235</f>
        <v>24242.74785</v>
      </c>
      <c r="H882" s="344">
        <f>'Пр.4 Ведом23'!H1235</f>
        <v>24242.74785</v>
      </c>
      <c r="I882" s="102">
        <f t="shared" si="78"/>
        <v>100</v>
      </c>
      <c r="J882" s="125"/>
      <c r="K882" s="125"/>
      <c r="L882" s="125"/>
      <c r="M882" s="125"/>
      <c r="N882" s="125"/>
    </row>
    <row r="883" spans="1:14" s="131" customFormat="1" ht="47.25" x14ac:dyDescent="0.25">
      <c r="A883" s="26" t="s">
        <v>877</v>
      </c>
      <c r="B883" s="218" t="s">
        <v>1055</v>
      </c>
      <c r="C883" s="218" t="s">
        <v>129</v>
      </c>
      <c r="D883" s="217" t="s">
        <v>119</v>
      </c>
      <c r="E883" s="217" t="s">
        <v>91</v>
      </c>
      <c r="F883" s="300">
        <v>908</v>
      </c>
      <c r="G883" s="344">
        <f>G882</f>
        <v>24242.74785</v>
      </c>
      <c r="H883" s="344">
        <f>H882</f>
        <v>24242.74785</v>
      </c>
      <c r="I883" s="102">
        <f t="shared" si="78"/>
        <v>100</v>
      </c>
      <c r="J883" s="125"/>
      <c r="K883" s="125"/>
      <c r="L883" s="125"/>
      <c r="M883" s="125"/>
      <c r="N883" s="125"/>
    </row>
    <row r="884" spans="1:14" s="131" customFormat="1" ht="47.25" x14ac:dyDescent="0.25">
      <c r="A884" s="116" t="s">
        <v>896</v>
      </c>
      <c r="B884" s="117" t="s">
        <v>165</v>
      </c>
      <c r="C884" s="117"/>
      <c r="D884" s="217"/>
      <c r="E884" s="217"/>
      <c r="F884" s="300"/>
      <c r="G884" s="302">
        <f t="shared" ref="G884:H886" si="83">G885</f>
        <v>297.50001000000003</v>
      </c>
      <c r="H884" s="567">
        <f t="shared" si="83"/>
        <v>297.50001000000003</v>
      </c>
      <c r="I884" s="221">
        <f t="shared" si="78"/>
        <v>100</v>
      </c>
      <c r="J884" s="125"/>
      <c r="K884" s="125"/>
      <c r="L884" s="125"/>
      <c r="M884" s="125"/>
      <c r="N884" s="125"/>
    </row>
    <row r="885" spans="1:14" s="131" customFormat="1" ht="31.5" x14ac:dyDescent="0.25">
      <c r="A885" s="116" t="s">
        <v>472</v>
      </c>
      <c r="B885" s="117" t="s">
        <v>473</v>
      </c>
      <c r="C885" s="117"/>
      <c r="D885" s="217"/>
      <c r="E885" s="217"/>
      <c r="F885" s="300"/>
      <c r="G885" s="302">
        <f t="shared" si="83"/>
        <v>297.50001000000003</v>
      </c>
      <c r="H885" s="567">
        <f t="shared" si="83"/>
        <v>297.50001000000003</v>
      </c>
      <c r="I885" s="221">
        <f t="shared" si="78"/>
        <v>100</v>
      </c>
      <c r="J885" s="125"/>
      <c r="K885" s="125"/>
      <c r="L885" s="125"/>
      <c r="M885" s="125"/>
      <c r="N885" s="125"/>
    </row>
    <row r="886" spans="1:14" s="131" customFormat="1" ht="15.75" x14ac:dyDescent="0.25">
      <c r="A886" s="26" t="s">
        <v>80</v>
      </c>
      <c r="B886" s="218" t="s">
        <v>473</v>
      </c>
      <c r="C886" s="218" t="s">
        <v>81</v>
      </c>
      <c r="D886" s="217"/>
      <c r="E886" s="217"/>
      <c r="F886" s="300"/>
      <c r="G886" s="344">
        <f t="shared" si="83"/>
        <v>297.50001000000003</v>
      </c>
      <c r="H886" s="344">
        <f t="shared" si="83"/>
        <v>297.50001000000003</v>
      </c>
      <c r="I886" s="102">
        <f t="shared" si="78"/>
        <v>100</v>
      </c>
      <c r="J886" s="125"/>
      <c r="K886" s="125"/>
      <c r="L886" s="125"/>
      <c r="M886" s="125"/>
      <c r="N886" s="125"/>
    </row>
    <row r="887" spans="1:14" s="131" customFormat="1" ht="15.75" x14ac:dyDescent="0.25">
      <c r="A887" s="215" t="s">
        <v>95</v>
      </c>
      <c r="B887" s="218" t="s">
        <v>473</v>
      </c>
      <c r="C887" s="218" t="s">
        <v>81</v>
      </c>
      <c r="D887" s="217" t="s">
        <v>96</v>
      </c>
      <c r="E887" s="217"/>
      <c r="F887" s="300"/>
      <c r="G887" s="344">
        <f>G888+G904+G908+G912+G916+G900</f>
        <v>297.50001000000003</v>
      </c>
      <c r="H887" s="344">
        <f>H888+H904+H908+H912+H916+H900</f>
        <v>297.50001000000003</v>
      </c>
      <c r="I887" s="102">
        <f t="shared" si="78"/>
        <v>100</v>
      </c>
      <c r="J887" s="125"/>
      <c r="K887" s="125"/>
      <c r="L887" s="125"/>
      <c r="M887" s="125"/>
      <c r="N887" s="125"/>
    </row>
    <row r="888" spans="1:14" s="131" customFormat="1" ht="31.5" hidden="1" x14ac:dyDescent="0.25">
      <c r="A888" s="66" t="s">
        <v>166</v>
      </c>
      <c r="B888" s="218" t="s">
        <v>474</v>
      </c>
      <c r="C888" s="218" t="s">
        <v>81</v>
      </c>
      <c r="D888" s="217" t="s">
        <v>96</v>
      </c>
      <c r="E888" s="217"/>
      <c r="F888" s="300"/>
      <c r="G888" s="344">
        <f>G889+G892+G896</f>
        <v>0</v>
      </c>
      <c r="H888" s="344">
        <f>H889+H892+H896</f>
        <v>0</v>
      </c>
      <c r="I888" s="102" t="e">
        <f t="shared" si="78"/>
        <v>#DIV/0!</v>
      </c>
      <c r="J888" s="125"/>
      <c r="K888" s="125"/>
      <c r="L888" s="125"/>
      <c r="M888" s="125"/>
      <c r="N888" s="125"/>
    </row>
    <row r="889" spans="1:14" s="131" customFormat="1" ht="31.5" hidden="1" x14ac:dyDescent="0.25">
      <c r="A889" s="215" t="s">
        <v>88</v>
      </c>
      <c r="B889" s="218" t="s">
        <v>474</v>
      </c>
      <c r="C889" s="218" t="s">
        <v>81</v>
      </c>
      <c r="D889" s="217" t="s">
        <v>96</v>
      </c>
      <c r="E889" s="218" t="s">
        <v>89</v>
      </c>
      <c r="F889" s="300"/>
      <c r="G889" s="344">
        <f>G890</f>
        <v>0</v>
      </c>
      <c r="H889" s="344">
        <f>H890</f>
        <v>0</v>
      </c>
      <c r="I889" s="102" t="e">
        <f t="shared" si="78"/>
        <v>#DIV/0!</v>
      </c>
      <c r="J889" s="125"/>
      <c r="K889" s="125"/>
      <c r="L889" s="125"/>
      <c r="M889" s="125"/>
      <c r="N889" s="125"/>
    </row>
    <row r="890" spans="1:14" s="75" customFormat="1" ht="47.25" hidden="1" x14ac:dyDescent="0.25">
      <c r="A890" s="215" t="s">
        <v>90</v>
      </c>
      <c r="B890" s="218" t="s">
        <v>474</v>
      </c>
      <c r="C890" s="218" t="s">
        <v>81</v>
      </c>
      <c r="D890" s="217" t="s">
        <v>96</v>
      </c>
      <c r="E890" s="218" t="s">
        <v>91</v>
      </c>
      <c r="F890" s="300"/>
      <c r="G890" s="344">
        <f>'Пр.4 Ведом23'!G318</f>
        <v>0</v>
      </c>
      <c r="H890" s="344">
        <f>'Пр.4 Ведом23'!H318</f>
        <v>0</v>
      </c>
      <c r="I890" s="102" t="e">
        <f t="shared" si="78"/>
        <v>#DIV/0!</v>
      </c>
      <c r="J890" s="125"/>
      <c r="K890" s="125"/>
      <c r="L890" s="125"/>
      <c r="M890" s="125"/>
      <c r="N890" s="125"/>
    </row>
    <row r="891" spans="1:14" s="131" customFormat="1" ht="47.25" hidden="1" x14ac:dyDescent="0.25">
      <c r="A891" s="215" t="s">
        <v>876</v>
      </c>
      <c r="B891" s="218" t="s">
        <v>474</v>
      </c>
      <c r="C891" s="218" t="s">
        <v>81</v>
      </c>
      <c r="D891" s="217" t="s">
        <v>96</v>
      </c>
      <c r="E891" s="218" t="s">
        <v>91</v>
      </c>
      <c r="F891" s="300">
        <v>903</v>
      </c>
      <c r="G891" s="344">
        <f>G890</f>
        <v>0</v>
      </c>
      <c r="H891" s="344">
        <f>H890</f>
        <v>0</v>
      </c>
      <c r="I891" s="102" t="e">
        <f t="shared" si="78"/>
        <v>#DIV/0!</v>
      </c>
      <c r="J891" s="125"/>
      <c r="K891" s="125"/>
      <c r="L891" s="125"/>
      <c r="M891" s="125"/>
      <c r="N891" s="125"/>
    </row>
    <row r="892" spans="1:14" s="131" customFormat="1" ht="31.5" hidden="1" x14ac:dyDescent="0.25">
      <c r="A892" s="66" t="s">
        <v>166</v>
      </c>
      <c r="B892" s="218" t="s">
        <v>474</v>
      </c>
      <c r="C892" s="218" t="s">
        <v>81</v>
      </c>
      <c r="D892" s="217" t="s">
        <v>96</v>
      </c>
      <c r="E892" s="218"/>
      <c r="F892" s="300"/>
      <c r="G892" s="344">
        <f>G893</f>
        <v>0</v>
      </c>
      <c r="H892" s="344">
        <f>H893</f>
        <v>0</v>
      </c>
      <c r="I892" s="102" t="e">
        <f t="shared" si="78"/>
        <v>#DIV/0!</v>
      </c>
      <c r="J892" s="125"/>
      <c r="K892" s="125"/>
      <c r="L892" s="125"/>
      <c r="M892" s="125"/>
      <c r="N892" s="125"/>
    </row>
    <row r="893" spans="1:14" s="131" customFormat="1" ht="31.5" hidden="1" x14ac:dyDescent="0.25">
      <c r="A893" s="215" t="s">
        <v>88</v>
      </c>
      <c r="B893" s="218" t="s">
        <v>474</v>
      </c>
      <c r="C893" s="218" t="s">
        <v>81</v>
      </c>
      <c r="D893" s="217" t="s">
        <v>96</v>
      </c>
      <c r="E893" s="218" t="s">
        <v>89</v>
      </c>
      <c r="F893" s="300"/>
      <c r="G893" s="344">
        <f>G894</f>
        <v>0</v>
      </c>
      <c r="H893" s="344">
        <f>H894</f>
        <v>0</v>
      </c>
      <c r="I893" s="102" t="e">
        <f t="shared" si="78"/>
        <v>#DIV/0!</v>
      </c>
      <c r="J893" s="125"/>
      <c r="K893" s="125"/>
      <c r="L893" s="125"/>
      <c r="M893" s="125"/>
      <c r="N893" s="125"/>
    </row>
    <row r="894" spans="1:14" s="131" customFormat="1" ht="47.25" hidden="1" x14ac:dyDescent="0.25">
      <c r="A894" s="215" t="s">
        <v>90</v>
      </c>
      <c r="B894" s="218" t="s">
        <v>474</v>
      </c>
      <c r="C894" s="218" t="s">
        <v>81</v>
      </c>
      <c r="D894" s="217" t="s">
        <v>96</v>
      </c>
      <c r="E894" s="218" t="s">
        <v>91</v>
      </c>
      <c r="F894" s="300"/>
      <c r="G894" s="344">
        <f>'Пр.4 Ведом23'!G716</f>
        <v>0</v>
      </c>
      <c r="H894" s="344">
        <f>'Пр.4 Ведом23'!H716</f>
        <v>0</v>
      </c>
      <c r="I894" s="102" t="e">
        <f t="shared" si="78"/>
        <v>#DIV/0!</v>
      </c>
      <c r="J894" s="125"/>
      <c r="K894" s="125"/>
      <c r="L894" s="125"/>
      <c r="M894" s="125"/>
      <c r="N894" s="125"/>
    </row>
    <row r="895" spans="1:14" s="131" customFormat="1" ht="31.5" hidden="1" x14ac:dyDescent="0.25">
      <c r="A895" s="68" t="s">
        <v>878</v>
      </c>
      <c r="B895" s="218" t="s">
        <v>474</v>
      </c>
      <c r="C895" s="218" t="s">
        <v>81</v>
      </c>
      <c r="D895" s="217" t="s">
        <v>96</v>
      </c>
      <c r="E895" s="218" t="s">
        <v>91</v>
      </c>
      <c r="F895" s="300">
        <v>906</v>
      </c>
      <c r="G895" s="344">
        <f>G894</f>
        <v>0</v>
      </c>
      <c r="H895" s="344">
        <f>H894</f>
        <v>0</v>
      </c>
      <c r="I895" s="102" t="e">
        <f t="shared" si="78"/>
        <v>#DIV/0!</v>
      </c>
      <c r="J895" s="125"/>
      <c r="K895" s="125"/>
      <c r="L895" s="125"/>
      <c r="M895" s="125"/>
      <c r="N895" s="125"/>
    </row>
    <row r="896" spans="1:14" s="131" customFormat="1" ht="31.5" hidden="1" x14ac:dyDescent="0.25">
      <c r="A896" s="66" t="s">
        <v>166</v>
      </c>
      <c r="B896" s="218" t="s">
        <v>474</v>
      </c>
      <c r="C896" s="218" t="s">
        <v>81</v>
      </c>
      <c r="D896" s="217" t="s">
        <v>96</v>
      </c>
      <c r="E896" s="218"/>
      <c r="F896" s="300"/>
      <c r="G896" s="344">
        <f>G897</f>
        <v>0</v>
      </c>
      <c r="H896" s="344">
        <f>H897</f>
        <v>0</v>
      </c>
      <c r="I896" s="102" t="e">
        <f t="shared" si="78"/>
        <v>#DIV/0!</v>
      </c>
      <c r="J896" s="125"/>
      <c r="K896" s="125"/>
      <c r="L896" s="125"/>
      <c r="M896" s="125"/>
      <c r="N896" s="125"/>
    </row>
    <row r="897" spans="1:14" s="131" customFormat="1" ht="31.5" hidden="1" x14ac:dyDescent="0.25">
      <c r="A897" s="215" t="s">
        <v>88</v>
      </c>
      <c r="B897" s="218" t="s">
        <v>474</v>
      </c>
      <c r="C897" s="218" t="s">
        <v>81</v>
      </c>
      <c r="D897" s="217" t="s">
        <v>96</v>
      </c>
      <c r="E897" s="218" t="s">
        <v>89</v>
      </c>
      <c r="F897" s="300"/>
      <c r="G897" s="344">
        <f>G898</f>
        <v>0</v>
      </c>
      <c r="H897" s="344">
        <f>H898</f>
        <v>0</v>
      </c>
      <c r="I897" s="102" t="e">
        <f t="shared" si="78"/>
        <v>#DIV/0!</v>
      </c>
      <c r="J897" s="125"/>
      <c r="K897" s="125"/>
      <c r="L897" s="125"/>
      <c r="M897" s="125"/>
      <c r="N897" s="125"/>
    </row>
    <row r="898" spans="1:14" s="131" customFormat="1" ht="47.25" hidden="1" x14ac:dyDescent="0.25">
      <c r="A898" s="215" t="s">
        <v>90</v>
      </c>
      <c r="B898" s="218" t="s">
        <v>474</v>
      </c>
      <c r="C898" s="218" t="s">
        <v>81</v>
      </c>
      <c r="D898" s="217" t="s">
        <v>96</v>
      </c>
      <c r="E898" s="218" t="s">
        <v>91</v>
      </c>
      <c r="F898" s="300"/>
      <c r="G898" s="344">
        <f>'Пр.4 Ведом23'!G948</f>
        <v>0</v>
      </c>
      <c r="H898" s="344">
        <f>'Пр.4 Ведом23'!H948</f>
        <v>0</v>
      </c>
      <c r="I898" s="102" t="e">
        <f t="shared" si="78"/>
        <v>#DIV/0!</v>
      </c>
      <c r="J898" s="125"/>
      <c r="K898" s="125"/>
      <c r="L898" s="125"/>
      <c r="M898" s="125"/>
      <c r="N898" s="125"/>
    </row>
    <row r="899" spans="1:14" s="131" customFormat="1" ht="31.5" hidden="1" x14ac:dyDescent="0.25">
      <c r="A899" s="68" t="s">
        <v>889</v>
      </c>
      <c r="B899" s="218" t="s">
        <v>474</v>
      </c>
      <c r="C899" s="218" t="s">
        <v>81</v>
      </c>
      <c r="D899" s="217" t="s">
        <v>96</v>
      </c>
      <c r="E899" s="218" t="s">
        <v>91</v>
      </c>
      <c r="F899" s="300">
        <v>907</v>
      </c>
      <c r="G899" s="344">
        <f>G898</f>
        <v>0</v>
      </c>
      <c r="H899" s="344">
        <f>H898</f>
        <v>0</v>
      </c>
      <c r="I899" s="102" t="e">
        <f t="shared" si="78"/>
        <v>#DIV/0!</v>
      </c>
      <c r="J899" s="125"/>
      <c r="K899" s="125"/>
      <c r="L899" s="125"/>
      <c r="M899" s="125"/>
      <c r="N899" s="125"/>
    </row>
    <row r="900" spans="1:14" s="131" customFormat="1" ht="42" customHeight="1" x14ac:dyDescent="0.25">
      <c r="A900" s="68" t="s">
        <v>166</v>
      </c>
      <c r="B900" s="218" t="s">
        <v>474</v>
      </c>
      <c r="C900" s="218" t="s">
        <v>159</v>
      </c>
      <c r="D900" s="217" t="s">
        <v>81</v>
      </c>
      <c r="E900" s="218"/>
      <c r="F900" s="300"/>
      <c r="G900" s="344">
        <f>G901</f>
        <v>279.90001000000001</v>
      </c>
      <c r="H900" s="344">
        <f>H901</f>
        <v>279.90001000000001</v>
      </c>
      <c r="I900" s="102">
        <f t="shared" si="78"/>
        <v>100</v>
      </c>
      <c r="J900" s="125"/>
      <c r="K900" s="125"/>
      <c r="L900" s="125"/>
      <c r="M900" s="125"/>
      <c r="N900" s="125"/>
    </row>
    <row r="901" spans="1:14" s="131" customFormat="1" ht="45.75" customHeight="1" x14ac:dyDescent="0.25">
      <c r="A901" s="68" t="s">
        <v>149</v>
      </c>
      <c r="B901" s="218" t="s">
        <v>474</v>
      </c>
      <c r="C901" s="218" t="s">
        <v>159</v>
      </c>
      <c r="D901" s="217" t="s">
        <v>81</v>
      </c>
      <c r="E901" s="218" t="s">
        <v>150</v>
      </c>
      <c r="F901" s="300"/>
      <c r="G901" s="344">
        <f>G902</f>
        <v>279.90001000000001</v>
      </c>
      <c r="H901" s="344">
        <f>H902</f>
        <v>279.90001000000001</v>
      </c>
      <c r="I901" s="102">
        <f t="shared" si="78"/>
        <v>100</v>
      </c>
      <c r="J901" s="125"/>
      <c r="K901" s="125"/>
      <c r="L901" s="125"/>
      <c r="M901" s="125"/>
      <c r="N901" s="125"/>
    </row>
    <row r="902" spans="1:14" s="131" customFormat="1" ht="36.75" customHeight="1" x14ac:dyDescent="0.25">
      <c r="A902" s="68" t="s">
        <v>151</v>
      </c>
      <c r="B902" s="218" t="s">
        <v>474</v>
      </c>
      <c r="C902" s="218" t="s">
        <v>159</v>
      </c>
      <c r="D902" s="217" t="s">
        <v>81</v>
      </c>
      <c r="E902" s="218" t="s">
        <v>152</v>
      </c>
      <c r="F902" s="300"/>
      <c r="G902" s="344">
        <f>'Пр.4 Ведом23'!G529</f>
        <v>279.90001000000001</v>
      </c>
      <c r="H902" s="344">
        <f>'Пр.4 Ведом23'!H529</f>
        <v>279.90001000000001</v>
      </c>
      <c r="I902" s="102">
        <f t="shared" si="78"/>
        <v>100</v>
      </c>
      <c r="J902" s="125"/>
      <c r="K902" s="125"/>
      <c r="L902" s="125"/>
      <c r="M902" s="125"/>
      <c r="N902" s="125"/>
    </row>
    <row r="903" spans="1:14" s="131" customFormat="1" ht="43.5" customHeight="1" x14ac:dyDescent="0.25">
      <c r="A903" s="68" t="s">
        <v>1063</v>
      </c>
      <c r="B903" s="218" t="s">
        <v>474</v>
      </c>
      <c r="C903" s="218" t="s">
        <v>159</v>
      </c>
      <c r="D903" s="217" t="s">
        <v>81</v>
      </c>
      <c r="E903" s="218">
        <v>610</v>
      </c>
      <c r="F903" s="300">
        <v>903</v>
      </c>
      <c r="G903" s="344">
        <f>G902</f>
        <v>279.90001000000001</v>
      </c>
      <c r="H903" s="344">
        <f>H902</f>
        <v>279.90001000000001</v>
      </c>
      <c r="I903" s="102">
        <f t="shared" si="78"/>
        <v>100</v>
      </c>
      <c r="J903" s="125"/>
      <c r="K903" s="125"/>
      <c r="L903" s="125"/>
      <c r="M903" s="125"/>
      <c r="N903" s="125"/>
    </row>
    <row r="904" spans="1:14" s="75" customFormat="1" ht="31.5" x14ac:dyDescent="0.25">
      <c r="A904" s="215" t="s">
        <v>167</v>
      </c>
      <c r="B904" s="218" t="s">
        <v>475</v>
      </c>
      <c r="C904" s="218" t="s">
        <v>81</v>
      </c>
      <c r="D904" s="217" t="s">
        <v>96</v>
      </c>
      <c r="E904" s="218"/>
      <c r="F904" s="300"/>
      <c r="G904" s="344">
        <f>G905</f>
        <v>17.600000000000001</v>
      </c>
      <c r="H904" s="344">
        <f>H905</f>
        <v>17.600000000000001</v>
      </c>
      <c r="I904" s="102">
        <f t="shared" si="78"/>
        <v>100</v>
      </c>
      <c r="J904" s="125"/>
      <c r="K904" s="125"/>
      <c r="L904" s="125"/>
      <c r="M904" s="125"/>
      <c r="N904" s="125"/>
    </row>
    <row r="905" spans="1:14" s="75" customFormat="1" ht="31.5" x14ac:dyDescent="0.25">
      <c r="A905" s="215" t="s">
        <v>88</v>
      </c>
      <c r="B905" s="218" t="s">
        <v>475</v>
      </c>
      <c r="C905" s="218" t="s">
        <v>81</v>
      </c>
      <c r="D905" s="217" t="s">
        <v>96</v>
      </c>
      <c r="E905" s="218" t="s">
        <v>89</v>
      </c>
      <c r="F905" s="300"/>
      <c r="G905" s="344">
        <f>G906</f>
        <v>17.600000000000001</v>
      </c>
      <c r="H905" s="344">
        <f>H906</f>
        <v>17.600000000000001</v>
      </c>
      <c r="I905" s="102">
        <f t="shared" si="78"/>
        <v>100</v>
      </c>
      <c r="J905" s="125"/>
      <c r="K905" s="125"/>
      <c r="L905" s="125"/>
      <c r="M905" s="125"/>
      <c r="N905" s="125"/>
    </row>
    <row r="906" spans="1:14" s="75" customFormat="1" ht="47.25" x14ac:dyDescent="0.25">
      <c r="A906" s="215" t="s">
        <v>90</v>
      </c>
      <c r="B906" s="218" t="s">
        <v>475</v>
      </c>
      <c r="C906" s="218" t="s">
        <v>81</v>
      </c>
      <c r="D906" s="217" t="s">
        <v>96</v>
      </c>
      <c r="E906" s="218" t="s">
        <v>91</v>
      </c>
      <c r="F906" s="300"/>
      <c r="G906" s="344">
        <f>'Пр.4 Ведом23'!G321</f>
        <v>17.600000000000001</v>
      </c>
      <c r="H906" s="344">
        <f>'Пр.4 Ведом23'!H321</f>
        <v>17.600000000000001</v>
      </c>
      <c r="I906" s="102">
        <f t="shared" si="78"/>
        <v>100</v>
      </c>
      <c r="J906" s="125"/>
      <c r="K906" s="125"/>
      <c r="L906" s="125"/>
      <c r="M906" s="125"/>
      <c r="N906" s="125"/>
    </row>
    <row r="907" spans="1:14" s="131" customFormat="1" ht="47.25" x14ac:dyDescent="0.25">
      <c r="A907" s="215" t="s">
        <v>876</v>
      </c>
      <c r="B907" s="218" t="s">
        <v>475</v>
      </c>
      <c r="C907" s="218" t="s">
        <v>81</v>
      </c>
      <c r="D907" s="217" t="s">
        <v>96</v>
      </c>
      <c r="E907" s="218" t="s">
        <v>91</v>
      </c>
      <c r="F907" s="300">
        <v>903</v>
      </c>
      <c r="G907" s="344">
        <f>G906</f>
        <v>17.600000000000001</v>
      </c>
      <c r="H907" s="344">
        <f>H906</f>
        <v>17.600000000000001</v>
      </c>
      <c r="I907" s="102">
        <f t="shared" si="78"/>
        <v>100</v>
      </c>
      <c r="J907" s="125"/>
      <c r="K907" s="125"/>
      <c r="L907" s="125"/>
      <c r="M907" s="125"/>
      <c r="N907" s="125"/>
    </row>
    <row r="908" spans="1:14" s="75" customFormat="1" ht="47.25" hidden="1" x14ac:dyDescent="0.25">
      <c r="A908" s="20" t="s">
        <v>268</v>
      </c>
      <c r="B908" s="218" t="s">
        <v>476</v>
      </c>
      <c r="C908" s="218" t="s">
        <v>81</v>
      </c>
      <c r="D908" s="217" t="s">
        <v>96</v>
      </c>
      <c r="E908" s="218"/>
      <c r="F908" s="300"/>
      <c r="G908" s="344">
        <f>G909</f>
        <v>0</v>
      </c>
      <c r="H908" s="344">
        <f>H909</f>
        <v>0</v>
      </c>
      <c r="I908" s="102" t="e">
        <f t="shared" si="78"/>
        <v>#DIV/0!</v>
      </c>
      <c r="J908" s="125"/>
      <c r="K908" s="125"/>
      <c r="L908" s="125"/>
      <c r="M908" s="125"/>
      <c r="N908" s="125"/>
    </row>
    <row r="909" spans="1:14" s="75" customFormat="1" ht="31.5" hidden="1" x14ac:dyDescent="0.25">
      <c r="A909" s="215" t="s">
        <v>88</v>
      </c>
      <c r="B909" s="218" t="s">
        <v>476</v>
      </c>
      <c r="C909" s="218" t="s">
        <v>81</v>
      </c>
      <c r="D909" s="217" t="s">
        <v>96</v>
      </c>
      <c r="E909" s="218" t="s">
        <v>89</v>
      </c>
      <c r="F909" s="300"/>
      <c r="G909" s="344">
        <f>G910</f>
        <v>0</v>
      </c>
      <c r="H909" s="344">
        <f>H910</f>
        <v>0</v>
      </c>
      <c r="I909" s="102" t="e">
        <f t="shared" si="78"/>
        <v>#DIV/0!</v>
      </c>
      <c r="J909" s="125"/>
      <c r="K909" s="125"/>
      <c r="L909" s="125"/>
      <c r="M909" s="125"/>
      <c r="N909" s="125"/>
    </row>
    <row r="910" spans="1:14" s="75" customFormat="1" ht="47.25" hidden="1" x14ac:dyDescent="0.25">
      <c r="A910" s="215" t="s">
        <v>90</v>
      </c>
      <c r="B910" s="218" t="s">
        <v>476</v>
      </c>
      <c r="C910" s="218" t="s">
        <v>81</v>
      </c>
      <c r="D910" s="217" t="s">
        <v>96</v>
      </c>
      <c r="E910" s="218" t="s">
        <v>91</v>
      </c>
      <c r="F910" s="300"/>
      <c r="G910" s="344">
        <f>'Пр.4 Ведом23'!G324</f>
        <v>0</v>
      </c>
      <c r="H910" s="344">
        <f>'Пр.4 Ведом23'!H324</f>
        <v>0</v>
      </c>
      <c r="I910" s="102" t="e">
        <f t="shared" si="78"/>
        <v>#DIV/0!</v>
      </c>
      <c r="J910" s="125"/>
      <c r="K910" s="125"/>
      <c r="L910" s="125"/>
      <c r="M910" s="125"/>
      <c r="N910" s="125"/>
    </row>
    <row r="911" spans="1:14" s="131" customFormat="1" ht="47.25" hidden="1" x14ac:dyDescent="0.25">
      <c r="A911" s="215" t="s">
        <v>876</v>
      </c>
      <c r="B911" s="218" t="s">
        <v>476</v>
      </c>
      <c r="C911" s="218" t="s">
        <v>81</v>
      </c>
      <c r="D911" s="217" t="s">
        <v>96</v>
      </c>
      <c r="E911" s="218" t="s">
        <v>91</v>
      </c>
      <c r="F911" s="300">
        <v>903</v>
      </c>
      <c r="G911" s="344">
        <f>G910</f>
        <v>0</v>
      </c>
      <c r="H911" s="344">
        <f>H910</f>
        <v>0</v>
      </c>
      <c r="I911" s="102" t="e">
        <f t="shared" si="78"/>
        <v>#DIV/0!</v>
      </c>
      <c r="J911" s="125"/>
      <c r="K911" s="125"/>
      <c r="L911" s="125"/>
      <c r="M911" s="125"/>
      <c r="N911" s="125"/>
    </row>
    <row r="912" spans="1:14" s="75" customFormat="1" ht="15.75" hidden="1" x14ac:dyDescent="0.25">
      <c r="A912" s="215" t="s">
        <v>423</v>
      </c>
      <c r="B912" s="218" t="s">
        <v>477</v>
      </c>
      <c r="C912" s="218" t="s">
        <v>81</v>
      </c>
      <c r="D912" s="217" t="s">
        <v>96</v>
      </c>
      <c r="E912" s="218"/>
      <c r="F912" s="300"/>
      <c r="G912" s="344">
        <f>G913</f>
        <v>0</v>
      </c>
      <c r="H912" s="344">
        <f>H913</f>
        <v>0</v>
      </c>
      <c r="I912" s="102" t="e">
        <f t="shared" si="78"/>
        <v>#DIV/0!</v>
      </c>
      <c r="J912" s="125"/>
      <c r="K912" s="125"/>
      <c r="L912" s="125"/>
      <c r="M912" s="125"/>
      <c r="N912" s="125"/>
    </row>
    <row r="913" spans="1:14" s="75" customFormat="1" ht="31.5" hidden="1" x14ac:dyDescent="0.25">
      <c r="A913" s="215" t="s">
        <v>88</v>
      </c>
      <c r="B913" s="218" t="s">
        <v>477</v>
      </c>
      <c r="C913" s="218" t="s">
        <v>81</v>
      </c>
      <c r="D913" s="217" t="s">
        <v>96</v>
      </c>
      <c r="E913" s="218" t="s">
        <v>89</v>
      </c>
      <c r="F913" s="300"/>
      <c r="G913" s="344">
        <f>G914</f>
        <v>0</v>
      </c>
      <c r="H913" s="344">
        <f>H914</f>
        <v>0</v>
      </c>
      <c r="I913" s="102" t="e">
        <f t="shared" ref="I913:I976" si="84">H913/G913*100</f>
        <v>#DIV/0!</v>
      </c>
      <c r="J913" s="125"/>
      <c r="K913" s="125"/>
      <c r="L913" s="125"/>
      <c r="M913" s="125"/>
      <c r="N913" s="125"/>
    </row>
    <row r="914" spans="1:14" s="75" customFormat="1" ht="47.25" hidden="1" x14ac:dyDescent="0.25">
      <c r="A914" s="215" t="s">
        <v>90</v>
      </c>
      <c r="B914" s="218" t="s">
        <v>477</v>
      </c>
      <c r="C914" s="218" t="s">
        <v>81</v>
      </c>
      <c r="D914" s="217" t="s">
        <v>96</v>
      </c>
      <c r="E914" s="218" t="s">
        <v>91</v>
      </c>
      <c r="F914" s="300"/>
      <c r="G914" s="344">
        <f>'Пр.4 Ведом23'!G327</f>
        <v>0</v>
      </c>
      <c r="H914" s="344">
        <f>'Пр.4 Ведом23'!H327</f>
        <v>0</v>
      </c>
      <c r="I914" s="102" t="e">
        <f t="shared" si="84"/>
        <v>#DIV/0!</v>
      </c>
      <c r="J914" s="125"/>
      <c r="K914" s="125"/>
      <c r="L914" s="125"/>
      <c r="M914" s="125"/>
      <c r="N914" s="125"/>
    </row>
    <row r="915" spans="1:14" s="131" customFormat="1" ht="47.25" hidden="1" x14ac:dyDescent="0.25">
      <c r="A915" s="215" t="s">
        <v>876</v>
      </c>
      <c r="B915" s="218" t="s">
        <v>477</v>
      </c>
      <c r="C915" s="218" t="s">
        <v>81</v>
      </c>
      <c r="D915" s="217" t="s">
        <v>96</v>
      </c>
      <c r="E915" s="218" t="s">
        <v>91</v>
      </c>
      <c r="F915" s="300">
        <v>903</v>
      </c>
      <c r="G915" s="344">
        <f>G914</f>
        <v>0</v>
      </c>
      <c r="H915" s="344">
        <f>H914</f>
        <v>0</v>
      </c>
      <c r="I915" s="102" t="e">
        <f t="shared" si="84"/>
        <v>#DIV/0!</v>
      </c>
      <c r="J915" s="125"/>
      <c r="K915" s="125"/>
      <c r="L915" s="125"/>
      <c r="M915" s="125"/>
      <c r="N915" s="125"/>
    </row>
    <row r="916" spans="1:14" s="75" customFormat="1" ht="31.5" hidden="1" x14ac:dyDescent="0.25">
      <c r="A916" s="20" t="s">
        <v>269</v>
      </c>
      <c r="B916" s="218" t="s">
        <v>478</v>
      </c>
      <c r="C916" s="218" t="s">
        <v>81</v>
      </c>
      <c r="D916" s="217" t="s">
        <v>96</v>
      </c>
      <c r="E916" s="218"/>
      <c r="F916" s="300"/>
      <c r="G916" s="344">
        <f>G917</f>
        <v>0</v>
      </c>
      <c r="H916" s="344">
        <f>H917</f>
        <v>0</v>
      </c>
      <c r="I916" s="102" t="e">
        <f t="shared" si="84"/>
        <v>#DIV/0!</v>
      </c>
      <c r="J916" s="125"/>
      <c r="K916" s="125"/>
      <c r="L916" s="125"/>
      <c r="M916" s="125"/>
      <c r="N916" s="125"/>
    </row>
    <row r="917" spans="1:14" s="75" customFormat="1" ht="31.5" hidden="1" x14ac:dyDescent="0.25">
      <c r="A917" s="215" t="s">
        <v>88</v>
      </c>
      <c r="B917" s="218" t="s">
        <v>478</v>
      </c>
      <c r="C917" s="218" t="s">
        <v>81</v>
      </c>
      <c r="D917" s="217" t="s">
        <v>96</v>
      </c>
      <c r="E917" s="218" t="s">
        <v>89</v>
      </c>
      <c r="F917" s="300"/>
      <c r="G917" s="344">
        <f>G918</f>
        <v>0</v>
      </c>
      <c r="H917" s="344">
        <f>H918</f>
        <v>0</v>
      </c>
      <c r="I917" s="102" t="e">
        <f t="shared" si="84"/>
        <v>#DIV/0!</v>
      </c>
      <c r="J917" s="125"/>
      <c r="K917" s="125"/>
      <c r="L917" s="125"/>
      <c r="M917" s="125"/>
      <c r="N917" s="125"/>
    </row>
    <row r="918" spans="1:14" s="75" customFormat="1" ht="47.25" hidden="1" x14ac:dyDescent="0.25">
      <c r="A918" s="215" t="s">
        <v>90</v>
      </c>
      <c r="B918" s="218" t="s">
        <v>478</v>
      </c>
      <c r="C918" s="218" t="s">
        <v>81</v>
      </c>
      <c r="D918" s="217" t="s">
        <v>96</v>
      </c>
      <c r="E918" s="218" t="s">
        <v>91</v>
      </c>
      <c r="F918" s="300"/>
      <c r="G918" s="344">
        <f>'Пр.4 Ведом23'!G330</f>
        <v>0</v>
      </c>
      <c r="H918" s="344">
        <f>'Пр.4 Ведом23'!H330</f>
        <v>0</v>
      </c>
      <c r="I918" s="102" t="e">
        <f t="shared" si="84"/>
        <v>#DIV/0!</v>
      </c>
      <c r="J918" s="125"/>
      <c r="K918" s="125"/>
      <c r="L918" s="125"/>
      <c r="M918" s="125"/>
      <c r="N918" s="125"/>
    </row>
    <row r="919" spans="1:14" s="131" customFormat="1" ht="47.25" hidden="1" x14ac:dyDescent="0.25">
      <c r="A919" s="215" t="s">
        <v>876</v>
      </c>
      <c r="B919" s="218" t="s">
        <v>478</v>
      </c>
      <c r="C919" s="218" t="s">
        <v>81</v>
      </c>
      <c r="D919" s="217" t="s">
        <v>96</v>
      </c>
      <c r="E919" s="218" t="s">
        <v>91</v>
      </c>
      <c r="F919" s="300">
        <v>903</v>
      </c>
      <c r="G919" s="344">
        <f>G918</f>
        <v>0</v>
      </c>
      <c r="H919" s="344">
        <f>H918</f>
        <v>0</v>
      </c>
      <c r="I919" s="102" t="e">
        <f t="shared" si="84"/>
        <v>#DIV/0!</v>
      </c>
      <c r="J919" s="125"/>
      <c r="K919" s="125"/>
      <c r="L919" s="125"/>
      <c r="M919" s="125"/>
      <c r="N919" s="125"/>
    </row>
    <row r="920" spans="1:14" s="131" customFormat="1" ht="47.25" x14ac:dyDescent="0.25">
      <c r="A920" s="130" t="s">
        <v>853</v>
      </c>
      <c r="B920" s="117" t="s">
        <v>259</v>
      </c>
      <c r="C920" s="119"/>
      <c r="D920" s="217"/>
      <c r="E920" s="117"/>
      <c r="F920" s="300"/>
      <c r="G920" s="302">
        <f>G921+G932+G980+G987+G1004</f>
        <v>6590.4856600000003</v>
      </c>
      <c r="H920" s="567">
        <f>H921+H932+H980+H987+H1004</f>
        <v>6516.2423900000003</v>
      </c>
      <c r="I920" s="221">
        <f t="shared" si="84"/>
        <v>98.873478013151455</v>
      </c>
      <c r="J920" s="125"/>
      <c r="K920" s="125"/>
      <c r="L920" s="125"/>
      <c r="M920" s="125"/>
      <c r="N920" s="125"/>
    </row>
    <row r="921" spans="1:14" s="131" customFormat="1" ht="47.25" x14ac:dyDescent="0.25">
      <c r="A921" s="30" t="s">
        <v>309</v>
      </c>
      <c r="B921" s="117" t="s">
        <v>315</v>
      </c>
      <c r="C921" s="119"/>
      <c r="D921" s="217"/>
      <c r="E921" s="218"/>
      <c r="F921" s="300"/>
      <c r="G921" s="302">
        <f t="shared" ref="G921:H923" si="85">G922</f>
        <v>6.8584300000000002</v>
      </c>
      <c r="H921" s="567">
        <f t="shared" si="85"/>
        <v>6.8584300000000002</v>
      </c>
      <c r="I921" s="221">
        <f t="shared" si="84"/>
        <v>100</v>
      </c>
      <c r="J921" s="125"/>
      <c r="K921" s="125"/>
      <c r="L921" s="125"/>
      <c r="M921" s="125"/>
      <c r="N921" s="125"/>
    </row>
    <row r="922" spans="1:14" s="131" customFormat="1" ht="15.75" x14ac:dyDescent="0.25">
      <c r="A922" s="19" t="s">
        <v>80</v>
      </c>
      <c r="B922" s="218" t="s">
        <v>315</v>
      </c>
      <c r="C922" s="118" t="s">
        <v>81</v>
      </c>
      <c r="D922" s="217"/>
      <c r="E922" s="218"/>
      <c r="F922" s="300"/>
      <c r="G922" s="344">
        <f t="shared" si="85"/>
        <v>6.8584300000000002</v>
      </c>
      <c r="H922" s="344">
        <f t="shared" si="85"/>
        <v>6.8584300000000002</v>
      </c>
      <c r="I922" s="102">
        <f t="shared" si="84"/>
        <v>100</v>
      </c>
      <c r="J922" s="125"/>
      <c r="K922" s="125"/>
      <c r="L922" s="125"/>
      <c r="M922" s="125"/>
      <c r="N922" s="125"/>
    </row>
    <row r="923" spans="1:14" s="131" customFormat="1" ht="15.75" x14ac:dyDescent="0.25">
      <c r="A923" s="19" t="s">
        <v>95</v>
      </c>
      <c r="B923" s="218" t="s">
        <v>315</v>
      </c>
      <c r="C923" s="118" t="s">
        <v>81</v>
      </c>
      <c r="D923" s="217" t="s">
        <v>96</v>
      </c>
      <c r="E923" s="218"/>
      <c r="F923" s="300"/>
      <c r="G923" s="344">
        <f t="shared" si="85"/>
        <v>6.8584300000000002</v>
      </c>
      <c r="H923" s="344">
        <f t="shared" si="85"/>
        <v>6.8584300000000002</v>
      </c>
      <c r="I923" s="102">
        <f t="shared" si="84"/>
        <v>100</v>
      </c>
      <c r="J923" s="125"/>
      <c r="K923" s="125"/>
      <c r="L923" s="125"/>
      <c r="M923" s="125"/>
      <c r="N923" s="125"/>
    </row>
    <row r="924" spans="1:14" s="131" customFormat="1" ht="47.25" x14ac:dyDescent="0.25">
      <c r="A924" s="26" t="s">
        <v>271</v>
      </c>
      <c r="B924" s="218" t="s">
        <v>310</v>
      </c>
      <c r="C924" s="118" t="s">
        <v>81</v>
      </c>
      <c r="D924" s="217" t="s">
        <v>96</v>
      </c>
      <c r="E924" s="218"/>
      <c r="F924" s="300"/>
      <c r="G924" s="344">
        <f>G925+G929</f>
        <v>6.8584300000000002</v>
      </c>
      <c r="H924" s="344">
        <f>H925+H929</f>
        <v>6.8584300000000002</v>
      </c>
      <c r="I924" s="102">
        <f t="shared" si="84"/>
        <v>100</v>
      </c>
      <c r="J924" s="125"/>
      <c r="K924" s="125"/>
      <c r="L924" s="125"/>
      <c r="M924" s="125"/>
      <c r="N924" s="125"/>
    </row>
    <row r="925" spans="1:14" s="131" customFormat="1" ht="31.5" hidden="1" x14ac:dyDescent="0.25">
      <c r="A925" s="215" t="s">
        <v>88</v>
      </c>
      <c r="B925" s="218" t="s">
        <v>310</v>
      </c>
      <c r="C925" s="118" t="s">
        <v>81</v>
      </c>
      <c r="D925" s="217" t="s">
        <v>96</v>
      </c>
      <c r="E925" s="118" t="s">
        <v>89</v>
      </c>
      <c r="F925" s="300"/>
      <c r="G925" s="344">
        <f>G926</f>
        <v>0</v>
      </c>
      <c r="H925" s="344">
        <f>H926</f>
        <v>0</v>
      </c>
      <c r="I925" s="102" t="e">
        <f t="shared" si="84"/>
        <v>#DIV/0!</v>
      </c>
      <c r="J925" s="125"/>
      <c r="K925" s="125"/>
      <c r="L925" s="125"/>
      <c r="M925" s="125"/>
      <c r="N925" s="125"/>
    </row>
    <row r="926" spans="1:14" s="131" customFormat="1" ht="47.25" hidden="1" x14ac:dyDescent="0.25">
      <c r="A926" s="215" t="s">
        <v>90</v>
      </c>
      <c r="B926" s="218" t="s">
        <v>310</v>
      </c>
      <c r="C926" s="118" t="s">
        <v>81</v>
      </c>
      <c r="D926" s="217" t="s">
        <v>96</v>
      </c>
      <c r="E926" s="118" t="s">
        <v>91</v>
      </c>
      <c r="F926" s="300"/>
      <c r="G926" s="344">
        <f>'Пр.4 Ведом23'!G169</f>
        <v>0</v>
      </c>
      <c r="H926" s="344">
        <f>'Пр.4 Ведом23'!H169</f>
        <v>0</v>
      </c>
      <c r="I926" s="102" t="e">
        <f t="shared" si="84"/>
        <v>#DIV/0!</v>
      </c>
      <c r="J926" s="125"/>
      <c r="K926" s="125"/>
      <c r="L926" s="125"/>
      <c r="M926" s="125"/>
      <c r="N926" s="125"/>
    </row>
    <row r="927" spans="1:14" s="131" customFormat="1" ht="31.5" hidden="1" x14ac:dyDescent="0.25">
      <c r="A927" s="19" t="s">
        <v>880</v>
      </c>
      <c r="B927" s="218" t="s">
        <v>310</v>
      </c>
      <c r="C927" s="118" t="s">
        <v>81</v>
      </c>
      <c r="D927" s="217" t="s">
        <v>96</v>
      </c>
      <c r="E927" s="118" t="s">
        <v>91</v>
      </c>
      <c r="F927" s="300">
        <v>902</v>
      </c>
      <c r="G927" s="344">
        <f>G926</f>
        <v>0</v>
      </c>
      <c r="H927" s="344">
        <f>H926</f>
        <v>0</v>
      </c>
      <c r="I927" s="102" t="e">
        <f t="shared" si="84"/>
        <v>#DIV/0!</v>
      </c>
      <c r="J927" s="125"/>
      <c r="K927" s="125"/>
      <c r="L927" s="125"/>
      <c r="M927" s="125"/>
      <c r="N927" s="125"/>
    </row>
    <row r="928" spans="1:14" s="131" customFormat="1" ht="47.25" x14ac:dyDescent="0.25">
      <c r="A928" s="26" t="s">
        <v>271</v>
      </c>
      <c r="B928" s="218" t="s">
        <v>310</v>
      </c>
      <c r="C928" s="118" t="s">
        <v>81</v>
      </c>
      <c r="D928" s="217" t="s">
        <v>96</v>
      </c>
      <c r="E928" s="218"/>
      <c r="F928" s="300"/>
      <c r="G928" s="344">
        <f>G929</f>
        <v>6.8584300000000002</v>
      </c>
      <c r="H928" s="344">
        <f>H929</f>
        <v>6.8584300000000002</v>
      </c>
      <c r="I928" s="102">
        <f t="shared" si="84"/>
        <v>100</v>
      </c>
      <c r="J928" s="125"/>
      <c r="K928" s="125"/>
      <c r="L928" s="125"/>
      <c r="M928" s="125"/>
      <c r="N928" s="125"/>
    </row>
    <row r="929" spans="1:14" s="131" customFormat="1" ht="31.5" x14ac:dyDescent="0.25">
      <c r="A929" s="215" t="s">
        <v>88</v>
      </c>
      <c r="B929" s="218" t="s">
        <v>310</v>
      </c>
      <c r="C929" s="118" t="s">
        <v>81</v>
      </c>
      <c r="D929" s="217" t="s">
        <v>96</v>
      </c>
      <c r="E929" s="218" t="s">
        <v>89</v>
      </c>
      <c r="F929" s="300"/>
      <c r="G929" s="344">
        <f>G930</f>
        <v>6.8584300000000002</v>
      </c>
      <c r="H929" s="344">
        <f>H930</f>
        <v>6.8584300000000002</v>
      </c>
      <c r="I929" s="102">
        <f t="shared" si="84"/>
        <v>100</v>
      </c>
      <c r="J929" s="125"/>
      <c r="K929" s="125"/>
      <c r="L929" s="125"/>
      <c r="M929" s="125"/>
      <c r="N929" s="125"/>
    </row>
    <row r="930" spans="1:14" s="131" customFormat="1" ht="47.25" x14ac:dyDescent="0.25">
      <c r="A930" s="215" t="s">
        <v>90</v>
      </c>
      <c r="B930" s="218" t="s">
        <v>310</v>
      </c>
      <c r="C930" s="118" t="s">
        <v>81</v>
      </c>
      <c r="D930" s="217" t="s">
        <v>96</v>
      </c>
      <c r="E930" s="218" t="s">
        <v>91</v>
      </c>
      <c r="F930" s="300"/>
      <c r="G930" s="344">
        <f>'Пр.4 Ведом23'!G335</f>
        <v>6.8584300000000002</v>
      </c>
      <c r="H930" s="344">
        <f>'Пр.4 Ведом23'!H335</f>
        <v>6.8584300000000002</v>
      </c>
      <c r="I930" s="102">
        <f t="shared" si="84"/>
        <v>100</v>
      </c>
      <c r="J930" s="125"/>
      <c r="K930" s="125"/>
      <c r="L930" s="125"/>
      <c r="M930" s="125"/>
      <c r="N930" s="125"/>
    </row>
    <row r="931" spans="1:14" s="131" customFormat="1" ht="47.25" x14ac:dyDescent="0.25">
      <c r="A931" s="215" t="s">
        <v>876</v>
      </c>
      <c r="B931" s="218" t="s">
        <v>310</v>
      </c>
      <c r="C931" s="118" t="s">
        <v>81</v>
      </c>
      <c r="D931" s="217" t="s">
        <v>96</v>
      </c>
      <c r="E931" s="218" t="s">
        <v>91</v>
      </c>
      <c r="F931" s="300">
        <v>903</v>
      </c>
      <c r="G931" s="344">
        <f>G930</f>
        <v>6.8584300000000002</v>
      </c>
      <c r="H931" s="344">
        <f>H930</f>
        <v>6.8584300000000002</v>
      </c>
      <c r="I931" s="102">
        <f t="shared" si="84"/>
        <v>100</v>
      </c>
      <c r="J931" s="125"/>
      <c r="K931" s="125"/>
      <c r="L931" s="125"/>
      <c r="M931" s="125"/>
      <c r="N931" s="125"/>
    </row>
    <row r="932" spans="1:14" s="131" customFormat="1" ht="47.25" x14ac:dyDescent="0.25">
      <c r="A932" s="130" t="s">
        <v>341</v>
      </c>
      <c r="B932" s="117" t="s">
        <v>339</v>
      </c>
      <c r="C932" s="117"/>
      <c r="D932" s="217"/>
      <c r="E932" s="117"/>
      <c r="F932" s="300"/>
      <c r="G932" s="302">
        <f>G933+G953+G963+G974</f>
        <v>5499.0998</v>
      </c>
      <c r="H932" s="567">
        <f>H933+H953+H963+H974</f>
        <v>5452.5449600000002</v>
      </c>
      <c r="I932" s="221">
        <f t="shared" si="84"/>
        <v>99.153409799909426</v>
      </c>
      <c r="J932" s="125"/>
      <c r="K932" s="125"/>
      <c r="L932" s="125"/>
      <c r="M932" s="125"/>
      <c r="N932" s="125"/>
    </row>
    <row r="933" spans="1:14" s="131" customFormat="1" ht="15.75" x14ac:dyDescent="0.25">
      <c r="A933" s="19" t="s">
        <v>144</v>
      </c>
      <c r="B933" s="218" t="s">
        <v>339</v>
      </c>
      <c r="C933" s="118" t="s">
        <v>145</v>
      </c>
      <c r="D933" s="217"/>
      <c r="E933" s="117"/>
      <c r="F933" s="300"/>
      <c r="G933" s="344">
        <f>G934+G939+G944</f>
        <v>3794.36148</v>
      </c>
      <c r="H933" s="344">
        <f>H934+H939+H944</f>
        <v>3747.8066399999998</v>
      </c>
      <c r="I933" s="102">
        <f t="shared" si="84"/>
        <v>98.773052060395671</v>
      </c>
      <c r="J933" s="125"/>
      <c r="K933" s="125"/>
      <c r="L933" s="125"/>
      <c r="M933" s="125"/>
      <c r="N933" s="125"/>
    </row>
    <row r="934" spans="1:14" s="131" customFormat="1" ht="15.75" x14ac:dyDescent="0.25">
      <c r="A934" s="19" t="s">
        <v>188</v>
      </c>
      <c r="B934" s="218" t="s">
        <v>339</v>
      </c>
      <c r="C934" s="118" t="s">
        <v>145</v>
      </c>
      <c r="D934" s="217" t="s">
        <v>81</v>
      </c>
      <c r="E934" s="117"/>
      <c r="F934" s="300"/>
      <c r="G934" s="344">
        <f t="shared" ref="G934:H936" si="86">G935</f>
        <v>1222.2800000000002</v>
      </c>
      <c r="H934" s="344">
        <f t="shared" si="86"/>
        <v>1207.6036999999999</v>
      </c>
      <c r="I934" s="102">
        <f t="shared" si="84"/>
        <v>98.799268580030741</v>
      </c>
      <c r="J934" s="125"/>
      <c r="K934" s="125"/>
      <c r="L934" s="125"/>
      <c r="M934" s="125"/>
      <c r="N934" s="125"/>
    </row>
    <row r="935" spans="1:14" s="131" customFormat="1" ht="47.25" x14ac:dyDescent="0.25">
      <c r="A935" s="26" t="s">
        <v>274</v>
      </c>
      <c r="B935" s="218" t="s">
        <v>374</v>
      </c>
      <c r="C935" s="118" t="s">
        <v>145</v>
      </c>
      <c r="D935" s="217" t="s">
        <v>81</v>
      </c>
      <c r="E935" s="118"/>
      <c r="F935" s="300"/>
      <c r="G935" s="344">
        <f t="shared" si="86"/>
        <v>1222.2800000000002</v>
      </c>
      <c r="H935" s="344">
        <f t="shared" si="86"/>
        <v>1207.6036999999999</v>
      </c>
      <c r="I935" s="102">
        <f t="shared" si="84"/>
        <v>98.799268580030741</v>
      </c>
      <c r="J935" s="125"/>
      <c r="K935" s="125"/>
      <c r="L935" s="125"/>
      <c r="M935" s="125"/>
      <c r="N935" s="125"/>
    </row>
    <row r="936" spans="1:14" s="131" customFormat="1" ht="47.25" x14ac:dyDescent="0.25">
      <c r="A936" s="19" t="s">
        <v>149</v>
      </c>
      <c r="B936" s="218" t="s">
        <v>374</v>
      </c>
      <c r="C936" s="118" t="s">
        <v>145</v>
      </c>
      <c r="D936" s="217" t="s">
        <v>81</v>
      </c>
      <c r="E936" s="118" t="s">
        <v>150</v>
      </c>
      <c r="F936" s="300"/>
      <c r="G936" s="344">
        <f t="shared" si="86"/>
        <v>1222.2800000000002</v>
      </c>
      <c r="H936" s="344">
        <f t="shared" si="86"/>
        <v>1207.6036999999999</v>
      </c>
      <c r="I936" s="102">
        <f t="shared" si="84"/>
        <v>98.799268580030741</v>
      </c>
      <c r="J936" s="125"/>
      <c r="K936" s="125"/>
      <c r="L936" s="125"/>
      <c r="M936" s="125"/>
      <c r="N936" s="125"/>
    </row>
    <row r="937" spans="1:14" s="131" customFormat="1" ht="15.75" x14ac:dyDescent="0.25">
      <c r="A937" s="68" t="s">
        <v>151</v>
      </c>
      <c r="B937" s="218" t="s">
        <v>374</v>
      </c>
      <c r="C937" s="118" t="s">
        <v>145</v>
      </c>
      <c r="D937" s="217" t="s">
        <v>81</v>
      </c>
      <c r="E937" s="118" t="s">
        <v>152</v>
      </c>
      <c r="F937" s="300"/>
      <c r="G937" s="344">
        <f>'Пр.4 Ведом23'!G770</f>
        <v>1222.2800000000002</v>
      </c>
      <c r="H937" s="344">
        <f>'Пр.4 Ведом23'!H770</f>
        <v>1207.6036999999999</v>
      </c>
      <c r="I937" s="102">
        <f t="shared" si="84"/>
        <v>98.799268580030741</v>
      </c>
      <c r="J937" s="125"/>
      <c r="K937" s="125"/>
      <c r="L937" s="125"/>
      <c r="M937" s="125"/>
      <c r="N937" s="125"/>
    </row>
    <row r="938" spans="1:14" s="131" customFormat="1" ht="31.5" x14ac:dyDescent="0.25">
      <c r="A938" s="68" t="s">
        <v>878</v>
      </c>
      <c r="B938" s="218" t="s">
        <v>374</v>
      </c>
      <c r="C938" s="118" t="s">
        <v>145</v>
      </c>
      <c r="D938" s="217" t="s">
        <v>81</v>
      </c>
      <c r="E938" s="118" t="s">
        <v>152</v>
      </c>
      <c r="F938" s="300">
        <v>906</v>
      </c>
      <c r="G938" s="344">
        <f>G937</f>
        <v>1222.2800000000002</v>
      </c>
      <c r="H938" s="344">
        <f>H937</f>
        <v>1207.6036999999999</v>
      </c>
      <c r="I938" s="102">
        <f t="shared" si="84"/>
        <v>98.799268580030741</v>
      </c>
      <c r="J938" s="125"/>
      <c r="K938" s="125"/>
      <c r="L938" s="125"/>
      <c r="M938" s="125"/>
      <c r="N938" s="125"/>
    </row>
    <row r="939" spans="1:14" s="131" customFormat="1" ht="15.75" x14ac:dyDescent="0.25">
      <c r="A939" s="19" t="s">
        <v>190</v>
      </c>
      <c r="B939" s="218" t="s">
        <v>339</v>
      </c>
      <c r="C939" s="118" t="s">
        <v>145</v>
      </c>
      <c r="D939" s="217" t="s">
        <v>119</v>
      </c>
      <c r="E939" s="117"/>
      <c r="F939" s="300"/>
      <c r="G939" s="344">
        <f t="shared" ref="G939:H941" si="87">G940</f>
        <v>1686.4390000000001</v>
      </c>
      <c r="H939" s="344">
        <f t="shared" si="87"/>
        <v>1654.6885</v>
      </c>
      <c r="I939" s="102">
        <f t="shared" si="84"/>
        <v>98.117305161941815</v>
      </c>
      <c r="J939" s="125"/>
      <c r="K939" s="125"/>
      <c r="L939" s="125"/>
      <c r="M939" s="125"/>
      <c r="N939" s="125"/>
    </row>
    <row r="940" spans="1:14" s="131" customFormat="1" ht="47.25" x14ac:dyDescent="0.25">
      <c r="A940" s="26" t="s">
        <v>274</v>
      </c>
      <c r="B940" s="218" t="s">
        <v>374</v>
      </c>
      <c r="C940" s="118" t="s">
        <v>145</v>
      </c>
      <c r="D940" s="217" t="s">
        <v>119</v>
      </c>
      <c r="E940" s="118"/>
      <c r="F940" s="300"/>
      <c r="G940" s="344">
        <f t="shared" si="87"/>
        <v>1686.4390000000001</v>
      </c>
      <c r="H940" s="344">
        <f t="shared" si="87"/>
        <v>1654.6885</v>
      </c>
      <c r="I940" s="102">
        <f t="shared" si="84"/>
        <v>98.117305161941815</v>
      </c>
      <c r="J940" s="125"/>
      <c r="K940" s="125"/>
      <c r="L940" s="125"/>
      <c r="M940" s="125"/>
      <c r="N940" s="125"/>
    </row>
    <row r="941" spans="1:14" s="131" customFormat="1" ht="47.25" x14ac:dyDescent="0.25">
      <c r="A941" s="19" t="s">
        <v>149</v>
      </c>
      <c r="B941" s="218" t="s">
        <v>374</v>
      </c>
      <c r="C941" s="118" t="s">
        <v>145</v>
      </c>
      <c r="D941" s="217" t="s">
        <v>119</v>
      </c>
      <c r="E941" s="118" t="s">
        <v>150</v>
      </c>
      <c r="F941" s="300"/>
      <c r="G941" s="344">
        <f t="shared" si="87"/>
        <v>1686.4390000000001</v>
      </c>
      <c r="H941" s="344">
        <f t="shared" si="87"/>
        <v>1654.6885</v>
      </c>
      <c r="I941" s="102">
        <f t="shared" si="84"/>
        <v>98.117305161941815</v>
      </c>
      <c r="J941" s="125"/>
      <c r="K941" s="125"/>
      <c r="L941" s="125"/>
      <c r="M941" s="125"/>
      <c r="N941" s="125"/>
    </row>
    <row r="942" spans="1:14" s="131" customFormat="1" ht="15.75" x14ac:dyDescent="0.25">
      <c r="A942" s="68" t="s">
        <v>151</v>
      </c>
      <c r="B942" s="218" t="s">
        <v>374</v>
      </c>
      <c r="C942" s="118" t="s">
        <v>145</v>
      </c>
      <c r="D942" s="217" t="s">
        <v>119</v>
      </c>
      <c r="E942" s="118" t="s">
        <v>152</v>
      </c>
      <c r="F942" s="300"/>
      <c r="G942" s="344">
        <f>'Пр.4 Ведом23'!G843</f>
        <v>1686.4390000000001</v>
      </c>
      <c r="H942" s="344">
        <f>'Пр.4 Ведом23'!H843</f>
        <v>1654.6885</v>
      </c>
      <c r="I942" s="102">
        <f t="shared" si="84"/>
        <v>98.117305161941815</v>
      </c>
      <c r="J942" s="125"/>
      <c r="K942" s="125"/>
      <c r="L942" s="125"/>
      <c r="M942" s="125"/>
      <c r="N942" s="125"/>
    </row>
    <row r="943" spans="1:14" s="131" customFormat="1" ht="31.5" x14ac:dyDescent="0.25">
      <c r="A943" s="68" t="s">
        <v>878</v>
      </c>
      <c r="B943" s="218" t="s">
        <v>374</v>
      </c>
      <c r="C943" s="118" t="s">
        <v>145</v>
      </c>
      <c r="D943" s="217" t="s">
        <v>119</v>
      </c>
      <c r="E943" s="118" t="s">
        <v>152</v>
      </c>
      <c r="F943" s="300">
        <v>906</v>
      </c>
      <c r="G943" s="344">
        <f>G942</f>
        <v>1686.4390000000001</v>
      </c>
      <c r="H943" s="344">
        <f>H942</f>
        <v>1654.6885</v>
      </c>
      <c r="I943" s="102">
        <f t="shared" si="84"/>
        <v>98.117305161941815</v>
      </c>
      <c r="J943" s="125"/>
      <c r="K943" s="125"/>
      <c r="L943" s="125"/>
      <c r="M943" s="125"/>
      <c r="N943" s="125"/>
    </row>
    <row r="944" spans="1:14" s="131" customFormat="1" ht="15.75" x14ac:dyDescent="0.25">
      <c r="A944" s="19" t="s">
        <v>146</v>
      </c>
      <c r="B944" s="218" t="s">
        <v>339</v>
      </c>
      <c r="C944" s="118" t="s">
        <v>145</v>
      </c>
      <c r="D944" s="217" t="s">
        <v>120</v>
      </c>
      <c r="E944" s="117"/>
      <c r="F944" s="300"/>
      <c r="G944" s="344">
        <f>G945+G949</f>
        <v>885.64247999999998</v>
      </c>
      <c r="H944" s="344">
        <f>H945+H949</f>
        <v>885.51444000000004</v>
      </c>
      <c r="I944" s="102">
        <f t="shared" si="84"/>
        <v>99.98554269890036</v>
      </c>
      <c r="J944" s="125"/>
      <c r="K944" s="125"/>
      <c r="L944" s="125"/>
      <c r="M944" s="125"/>
      <c r="N944" s="125"/>
    </row>
    <row r="945" spans="1:14" s="131" customFormat="1" ht="47.25" x14ac:dyDescent="0.25">
      <c r="A945" s="26" t="s">
        <v>433</v>
      </c>
      <c r="B945" s="218" t="s">
        <v>340</v>
      </c>
      <c r="C945" s="118" t="s">
        <v>145</v>
      </c>
      <c r="D945" s="217" t="s">
        <v>120</v>
      </c>
      <c r="E945" s="118"/>
      <c r="F945" s="300"/>
      <c r="G945" s="344">
        <f>G946</f>
        <v>315.72247999999996</v>
      </c>
      <c r="H945" s="344">
        <f>H946</f>
        <v>315.72248000000002</v>
      </c>
      <c r="I945" s="102">
        <f t="shared" si="84"/>
        <v>100.00000000000003</v>
      </c>
      <c r="J945" s="125"/>
      <c r="K945" s="125"/>
      <c r="L945" s="125"/>
      <c r="M945" s="125"/>
      <c r="N945" s="125"/>
    </row>
    <row r="946" spans="1:14" s="131" customFormat="1" ht="31.5" x14ac:dyDescent="0.25">
      <c r="A946" s="215" t="s">
        <v>88</v>
      </c>
      <c r="B946" s="218" t="s">
        <v>340</v>
      </c>
      <c r="C946" s="118" t="s">
        <v>145</v>
      </c>
      <c r="D946" s="217" t="s">
        <v>120</v>
      </c>
      <c r="E946" s="118" t="s">
        <v>89</v>
      </c>
      <c r="F946" s="300"/>
      <c r="G946" s="344">
        <f>G947</f>
        <v>315.72247999999996</v>
      </c>
      <c r="H946" s="344">
        <f>H947</f>
        <v>315.72248000000002</v>
      </c>
      <c r="I946" s="102">
        <f t="shared" si="84"/>
        <v>100.00000000000003</v>
      </c>
      <c r="J946" s="125"/>
      <c r="K946" s="125"/>
      <c r="L946" s="125"/>
      <c r="M946" s="125"/>
      <c r="N946" s="125"/>
    </row>
    <row r="947" spans="1:14" s="131" customFormat="1" ht="47.25" x14ac:dyDescent="0.25">
      <c r="A947" s="215" t="s">
        <v>90</v>
      </c>
      <c r="B947" s="218" t="s">
        <v>340</v>
      </c>
      <c r="C947" s="118" t="s">
        <v>145</v>
      </c>
      <c r="D947" s="217" t="s">
        <v>120</v>
      </c>
      <c r="E947" s="118" t="s">
        <v>91</v>
      </c>
      <c r="F947" s="300"/>
      <c r="G947" s="344">
        <f>'Пр.4 Ведом23'!G407</f>
        <v>315.72247999999996</v>
      </c>
      <c r="H947" s="344">
        <f>'Пр.4 Ведом23'!H407</f>
        <v>315.72248000000002</v>
      </c>
      <c r="I947" s="102">
        <f t="shared" si="84"/>
        <v>100.00000000000003</v>
      </c>
      <c r="J947" s="125"/>
      <c r="K947" s="125"/>
      <c r="L947" s="125"/>
      <c r="M947" s="125"/>
      <c r="N947" s="125"/>
    </row>
    <row r="948" spans="1:14" s="270" customFormat="1" ht="47.25" x14ac:dyDescent="0.25">
      <c r="A948" s="215" t="s">
        <v>876</v>
      </c>
      <c r="B948" s="218" t="s">
        <v>340</v>
      </c>
      <c r="C948" s="118" t="s">
        <v>145</v>
      </c>
      <c r="D948" s="217" t="s">
        <v>120</v>
      </c>
      <c r="E948" s="118" t="s">
        <v>91</v>
      </c>
      <c r="F948" s="300">
        <v>903</v>
      </c>
      <c r="G948" s="344">
        <f>G947</f>
        <v>315.72247999999996</v>
      </c>
      <c r="H948" s="344">
        <f>H947</f>
        <v>315.72248000000002</v>
      </c>
      <c r="I948" s="102">
        <f t="shared" si="84"/>
        <v>100.00000000000003</v>
      </c>
      <c r="J948" s="269"/>
      <c r="K948" s="269"/>
      <c r="L948" s="269"/>
      <c r="M948" s="269"/>
      <c r="N948" s="269"/>
    </row>
    <row r="949" spans="1:14" s="131" customFormat="1" ht="47.25" x14ac:dyDescent="0.25">
      <c r="A949" s="26" t="s">
        <v>274</v>
      </c>
      <c r="B949" s="218" t="s">
        <v>374</v>
      </c>
      <c r="C949" s="118" t="s">
        <v>145</v>
      </c>
      <c r="D949" s="217" t="s">
        <v>120</v>
      </c>
      <c r="E949" s="118"/>
      <c r="F949" s="300"/>
      <c r="G949" s="344">
        <f>G950</f>
        <v>569.91999999999996</v>
      </c>
      <c r="H949" s="344">
        <f>H950</f>
        <v>569.79196000000002</v>
      </c>
      <c r="I949" s="102">
        <f t="shared" si="84"/>
        <v>99.97753368893882</v>
      </c>
      <c r="J949" s="125"/>
      <c r="K949" s="125"/>
      <c r="L949" s="125"/>
      <c r="M949" s="125"/>
      <c r="N949" s="125"/>
    </row>
    <row r="950" spans="1:14" s="131" customFormat="1" ht="47.25" x14ac:dyDescent="0.25">
      <c r="A950" s="19" t="s">
        <v>149</v>
      </c>
      <c r="B950" s="218" t="s">
        <v>374</v>
      </c>
      <c r="C950" s="118" t="s">
        <v>145</v>
      </c>
      <c r="D950" s="217" t="s">
        <v>120</v>
      </c>
      <c r="E950" s="118" t="s">
        <v>150</v>
      </c>
      <c r="F950" s="300"/>
      <c r="G950" s="344">
        <f>G951</f>
        <v>569.91999999999996</v>
      </c>
      <c r="H950" s="344">
        <f>H951</f>
        <v>569.79196000000002</v>
      </c>
      <c r="I950" s="102">
        <f t="shared" si="84"/>
        <v>99.97753368893882</v>
      </c>
      <c r="J950" s="125"/>
      <c r="K950" s="125"/>
      <c r="L950" s="125"/>
      <c r="M950" s="125"/>
      <c r="N950" s="125"/>
    </row>
    <row r="951" spans="1:14" s="131" customFormat="1" ht="15.75" x14ac:dyDescent="0.25">
      <c r="A951" s="68" t="s">
        <v>151</v>
      </c>
      <c r="B951" s="218" t="s">
        <v>374</v>
      </c>
      <c r="C951" s="118" t="s">
        <v>145</v>
      </c>
      <c r="D951" s="217" t="s">
        <v>120</v>
      </c>
      <c r="E951" s="118" t="s">
        <v>152</v>
      </c>
      <c r="F951" s="300"/>
      <c r="G951" s="344">
        <f>'Пр.4 Ведом23'!G876</f>
        <v>569.91999999999996</v>
      </c>
      <c r="H951" s="344">
        <f>'Пр.4 Ведом23'!H876</f>
        <v>569.79196000000002</v>
      </c>
      <c r="I951" s="102">
        <f t="shared" si="84"/>
        <v>99.97753368893882</v>
      </c>
      <c r="J951" s="125"/>
      <c r="K951" s="125"/>
      <c r="L951" s="125"/>
      <c r="M951" s="125"/>
      <c r="N951" s="125"/>
    </row>
    <row r="952" spans="1:14" s="131" customFormat="1" ht="31.5" x14ac:dyDescent="0.25">
      <c r="A952" s="68" t="s">
        <v>878</v>
      </c>
      <c r="B952" s="218" t="s">
        <v>374</v>
      </c>
      <c r="C952" s="118" t="s">
        <v>145</v>
      </c>
      <c r="D952" s="217" t="s">
        <v>120</v>
      </c>
      <c r="E952" s="118" t="s">
        <v>152</v>
      </c>
      <c r="F952" s="300">
        <v>906</v>
      </c>
      <c r="G952" s="344">
        <f>G951</f>
        <v>569.91999999999996</v>
      </c>
      <c r="H952" s="344">
        <f>H951</f>
        <v>569.79196000000002</v>
      </c>
      <c r="I952" s="102">
        <f t="shared" si="84"/>
        <v>99.97753368893882</v>
      </c>
      <c r="J952" s="125"/>
      <c r="K952" s="125"/>
      <c r="L952" s="125"/>
      <c r="M952" s="125"/>
      <c r="N952" s="125"/>
    </row>
    <row r="953" spans="1:14" s="131" customFormat="1" ht="15.75" x14ac:dyDescent="0.25">
      <c r="A953" s="40" t="s">
        <v>158</v>
      </c>
      <c r="B953" s="218" t="s">
        <v>339</v>
      </c>
      <c r="C953" s="118" t="s">
        <v>159</v>
      </c>
      <c r="D953" s="217"/>
      <c r="E953" s="118"/>
      <c r="F953" s="300"/>
      <c r="G953" s="344">
        <f>G954</f>
        <v>840.43831999999998</v>
      </c>
      <c r="H953" s="344">
        <f>H954</f>
        <v>840.43831999999998</v>
      </c>
      <c r="I953" s="102">
        <f t="shared" si="84"/>
        <v>100</v>
      </c>
      <c r="J953" s="125"/>
      <c r="K953" s="125"/>
      <c r="L953" s="125"/>
      <c r="M953" s="125"/>
      <c r="N953" s="125"/>
    </row>
    <row r="954" spans="1:14" s="131" customFormat="1" ht="15.75" x14ac:dyDescent="0.25">
      <c r="A954" s="40" t="s">
        <v>160</v>
      </c>
      <c r="B954" s="218" t="s">
        <v>339</v>
      </c>
      <c r="C954" s="118" t="s">
        <v>159</v>
      </c>
      <c r="D954" s="217" t="s">
        <v>81</v>
      </c>
      <c r="E954" s="118"/>
      <c r="F954" s="300"/>
      <c r="G954" s="344">
        <f>G955+G959</f>
        <v>840.43831999999998</v>
      </c>
      <c r="H954" s="344">
        <f>H955+H959</f>
        <v>840.43831999999998</v>
      </c>
      <c r="I954" s="102">
        <f t="shared" si="84"/>
        <v>100</v>
      </c>
      <c r="J954" s="125"/>
      <c r="K954" s="125"/>
      <c r="L954" s="125"/>
      <c r="M954" s="125"/>
      <c r="N954" s="125"/>
    </row>
    <row r="955" spans="1:14" s="131" customFormat="1" ht="47.25" x14ac:dyDescent="0.25">
      <c r="A955" s="26" t="s">
        <v>449</v>
      </c>
      <c r="B955" s="218" t="s">
        <v>340</v>
      </c>
      <c r="C955" s="118" t="s">
        <v>159</v>
      </c>
      <c r="D955" s="217" t="s">
        <v>81</v>
      </c>
      <c r="E955" s="118"/>
      <c r="F955" s="300"/>
      <c r="G955" s="344">
        <f>G956</f>
        <v>476.08296000000001</v>
      </c>
      <c r="H955" s="344">
        <f>H956</f>
        <v>476.08296000000001</v>
      </c>
      <c r="I955" s="102">
        <f t="shared" si="84"/>
        <v>100</v>
      </c>
      <c r="J955" s="125"/>
      <c r="K955" s="125"/>
      <c r="L955" s="125"/>
      <c r="M955" s="125"/>
      <c r="N955" s="125"/>
    </row>
    <row r="956" spans="1:14" s="131" customFormat="1" ht="31.5" x14ac:dyDescent="0.25">
      <c r="A956" s="215" t="s">
        <v>88</v>
      </c>
      <c r="B956" s="218" t="s">
        <v>340</v>
      </c>
      <c r="C956" s="118" t="s">
        <v>159</v>
      </c>
      <c r="D956" s="217" t="s">
        <v>81</v>
      </c>
      <c r="E956" s="118" t="s">
        <v>89</v>
      </c>
      <c r="F956" s="300"/>
      <c r="G956" s="344">
        <f>G957</f>
        <v>476.08296000000001</v>
      </c>
      <c r="H956" s="344">
        <f>H957</f>
        <v>476.08296000000001</v>
      </c>
      <c r="I956" s="102">
        <f t="shared" si="84"/>
        <v>100</v>
      </c>
      <c r="J956" s="125"/>
      <c r="K956" s="125"/>
      <c r="L956" s="125"/>
      <c r="M956" s="125"/>
      <c r="N956" s="125"/>
    </row>
    <row r="957" spans="1:14" s="131" customFormat="1" ht="47.25" x14ac:dyDescent="0.25">
      <c r="A957" s="215" t="s">
        <v>90</v>
      </c>
      <c r="B957" s="218" t="s">
        <v>340</v>
      </c>
      <c r="C957" s="118" t="s">
        <v>159</v>
      </c>
      <c r="D957" s="217" t="s">
        <v>81</v>
      </c>
      <c r="E957" s="118" t="s">
        <v>91</v>
      </c>
      <c r="F957" s="300"/>
      <c r="G957" s="344">
        <f>'Пр.4 Ведом23'!G534</f>
        <v>476.08296000000001</v>
      </c>
      <c r="H957" s="344">
        <f>'Пр.4 Ведом23'!H534</f>
        <v>476.08296000000001</v>
      </c>
      <c r="I957" s="102">
        <f t="shared" si="84"/>
        <v>100</v>
      </c>
      <c r="J957" s="125"/>
      <c r="K957" s="125"/>
      <c r="L957" s="125"/>
      <c r="M957" s="125"/>
      <c r="N957" s="125"/>
    </row>
    <row r="958" spans="1:14" s="264" customFormat="1" ht="47.25" x14ac:dyDescent="0.25">
      <c r="A958" s="215" t="s">
        <v>876</v>
      </c>
      <c r="B958" s="218" t="s">
        <v>340</v>
      </c>
      <c r="C958" s="118" t="s">
        <v>159</v>
      </c>
      <c r="D958" s="217" t="s">
        <v>81</v>
      </c>
      <c r="E958" s="118" t="s">
        <v>91</v>
      </c>
      <c r="F958" s="300">
        <v>903</v>
      </c>
      <c r="G958" s="344">
        <f>G957</f>
        <v>476.08296000000001</v>
      </c>
      <c r="H958" s="344">
        <f>H957</f>
        <v>476.08296000000001</v>
      </c>
      <c r="I958" s="102">
        <f t="shared" si="84"/>
        <v>100</v>
      </c>
      <c r="J958" s="266"/>
      <c r="K958" s="266"/>
      <c r="L958" s="266"/>
      <c r="M958" s="266"/>
      <c r="N958" s="266"/>
    </row>
    <row r="959" spans="1:14" s="131" customFormat="1" ht="47.25" x14ac:dyDescent="0.25">
      <c r="A959" s="215" t="s">
        <v>274</v>
      </c>
      <c r="B959" s="218" t="s">
        <v>374</v>
      </c>
      <c r="C959" s="118" t="s">
        <v>159</v>
      </c>
      <c r="D959" s="217" t="s">
        <v>81</v>
      </c>
      <c r="E959" s="118"/>
      <c r="F959" s="300"/>
      <c r="G959" s="344">
        <f>G960</f>
        <v>364.35535999999996</v>
      </c>
      <c r="H959" s="344">
        <f>H960</f>
        <v>364.35536000000002</v>
      </c>
      <c r="I959" s="102">
        <f t="shared" si="84"/>
        <v>100.00000000000003</v>
      </c>
      <c r="J959" s="125"/>
      <c r="K959" s="125"/>
      <c r="L959" s="125"/>
      <c r="M959" s="125"/>
      <c r="N959" s="125"/>
    </row>
    <row r="960" spans="1:14" s="131" customFormat="1" ht="47.25" x14ac:dyDescent="0.25">
      <c r="A960" s="215" t="s">
        <v>149</v>
      </c>
      <c r="B960" s="218" t="s">
        <v>374</v>
      </c>
      <c r="C960" s="118" t="s">
        <v>159</v>
      </c>
      <c r="D960" s="217" t="s">
        <v>81</v>
      </c>
      <c r="E960" s="118" t="s">
        <v>150</v>
      </c>
      <c r="F960" s="300"/>
      <c r="G960" s="344">
        <f>G961</f>
        <v>364.35535999999996</v>
      </c>
      <c r="H960" s="344">
        <f>H961</f>
        <v>364.35536000000002</v>
      </c>
      <c r="I960" s="102">
        <f t="shared" si="84"/>
        <v>100.00000000000003</v>
      </c>
      <c r="J960" s="125"/>
      <c r="K960" s="125"/>
      <c r="L960" s="125"/>
      <c r="M960" s="125"/>
      <c r="N960" s="125"/>
    </row>
    <row r="961" spans="1:14" s="131" customFormat="1" ht="15.75" x14ac:dyDescent="0.25">
      <c r="A961" s="215" t="s">
        <v>151</v>
      </c>
      <c r="B961" s="218" t="s">
        <v>374</v>
      </c>
      <c r="C961" s="118" t="s">
        <v>159</v>
      </c>
      <c r="D961" s="217" t="s">
        <v>81</v>
      </c>
      <c r="E961" s="118" t="s">
        <v>152</v>
      </c>
      <c r="F961" s="300"/>
      <c r="G961" s="344">
        <f>'Пр.4 Ведом23'!G537</f>
        <v>364.35535999999996</v>
      </c>
      <c r="H961" s="344">
        <f>'Пр.4 Ведом23'!H537</f>
        <v>364.35536000000002</v>
      </c>
      <c r="I961" s="102">
        <f t="shared" si="84"/>
        <v>100.00000000000003</v>
      </c>
      <c r="J961" s="125"/>
      <c r="K961" s="125"/>
      <c r="L961" s="125"/>
      <c r="M961" s="125"/>
      <c r="N961" s="125"/>
    </row>
    <row r="962" spans="1:14" s="264" customFormat="1" ht="47.25" x14ac:dyDescent="0.25">
      <c r="A962" s="215" t="s">
        <v>876</v>
      </c>
      <c r="B962" s="218" t="s">
        <v>374</v>
      </c>
      <c r="C962" s="118" t="s">
        <v>159</v>
      </c>
      <c r="D962" s="217" t="s">
        <v>81</v>
      </c>
      <c r="E962" s="118" t="s">
        <v>152</v>
      </c>
      <c r="F962" s="300">
        <v>903</v>
      </c>
      <c r="G962" s="344">
        <f>G961</f>
        <v>364.35535999999996</v>
      </c>
      <c r="H962" s="344">
        <f>H961</f>
        <v>364.35536000000002</v>
      </c>
      <c r="I962" s="102">
        <f t="shared" si="84"/>
        <v>100.00000000000003</v>
      </c>
      <c r="J962" s="266"/>
      <c r="K962" s="266"/>
      <c r="L962" s="266"/>
      <c r="M962" s="266"/>
      <c r="N962" s="266"/>
    </row>
    <row r="963" spans="1:14" s="131" customFormat="1" ht="15.75" x14ac:dyDescent="0.25">
      <c r="A963" s="215" t="s">
        <v>196</v>
      </c>
      <c r="B963" s="218" t="s">
        <v>339</v>
      </c>
      <c r="C963" s="118" t="s">
        <v>197</v>
      </c>
      <c r="D963" s="217"/>
      <c r="E963" s="118"/>
      <c r="F963" s="300"/>
      <c r="G963" s="344">
        <f>G964+G969</f>
        <v>786.30000000000007</v>
      </c>
      <c r="H963" s="344">
        <f>H964+H969</f>
        <v>786.30000000000007</v>
      </c>
      <c r="I963" s="102">
        <f t="shared" si="84"/>
        <v>100</v>
      </c>
      <c r="J963" s="125"/>
      <c r="K963" s="125"/>
      <c r="L963" s="125"/>
      <c r="M963" s="125"/>
      <c r="N963" s="125"/>
    </row>
    <row r="964" spans="1:14" s="131" customFormat="1" ht="15.75" x14ac:dyDescent="0.25">
      <c r="A964" s="215" t="s">
        <v>492</v>
      </c>
      <c r="B964" s="218" t="s">
        <v>339</v>
      </c>
      <c r="C964" s="118" t="s">
        <v>197</v>
      </c>
      <c r="D964" s="217" t="s">
        <v>81</v>
      </c>
      <c r="E964" s="118"/>
      <c r="F964" s="300"/>
      <c r="G964" s="344">
        <f t="shared" ref="G964:H966" si="88">G965</f>
        <v>581.70000000000005</v>
      </c>
      <c r="H964" s="344">
        <f t="shared" si="88"/>
        <v>581.70000000000005</v>
      </c>
      <c r="I964" s="102">
        <f t="shared" si="84"/>
        <v>100</v>
      </c>
      <c r="J964" s="125"/>
      <c r="K964" s="125"/>
      <c r="L964" s="125"/>
      <c r="M964" s="125"/>
      <c r="N964" s="125"/>
    </row>
    <row r="965" spans="1:14" s="131" customFormat="1" ht="47.25" x14ac:dyDescent="0.25">
      <c r="A965" s="215" t="s">
        <v>274</v>
      </c>
      <c r="B965" s="218" t="s">
        <v>374</v>
      </c>
      <c r="C965" s="118" t="s">
        <v>197</v>
      </c>
      <c r="D965" s="217" t="s">
        <v>81</v>
      </c>
      <c r="E965" s="118"/>
      <c r="F965" s="300"/>
      <c r="G965" s="344">
        <f t="shared" si="88"/>
        <v>581.70000000000005</v>
      </c>
      <c r="H965" s="344">
        <f t="shared" si="88"/>
        <v>581.70000000000005</v>
      </c>
      <c r="I965" s="102">
        <f t="shared" si="84"/>
        <v>100</v>
      </c>
      <c r="J965" s="125"/>
      <c r="K965" s="125"/>
      <c r="L965" s="125"/>
      <c r="M965" s="125"/>
      <c r="N965" s="125"/>
    </row>
    <row r="966" spans="1:14" s="131" customFormat="1" ht="47.25" x14ac:dyDescent="0.25">
      <c r="A966" s="215" t="s">
        <v>149</v>
      </c>
      <c r="B966" s="218" t="s">
        <v>374</v>
      </c>
      <c r="C966" s="118" t="s">
        <v>197</v>
      </c>
      <c r="D966" s="217" t="s">
        <v>81</v>
      </c>
      <c r="E966" s="118" t="s">
        <v>150</v>
      </c>
      <c r="F966" s="300"/>
      <c r="G966" s="344">
        <f t="shared" si="88"/>
        <v>581.70000000000005</v>
      </c>
      <c r="H966" s="344">
        <f t="shared" si="88"/>
        <v>581.70000000000005</v>
      </c>
      <c r="I966" s="102">
        <f t="shared" si="84"/>
        <v>100</v>
      </c>
      <c r="J966" s="125"/>
      <c r="K966" s="125"/>
      <c r="L966" s="125"/>
      <c r="M966" s="125"/>
      <c r="N966" s="125"/>
    </row>
    <row r="967" spans="1:14" s="131" customFormat="1" ht="15.75" x14ac:dyDescent="0.25">
      <c r="A967" s="215" t="s">
        <v>151</v>
      </c>
      <c r="B967" s="218" t="s">
        <v>374</v>
      </c>
      <c r="C967" s="118" t="s">
        <v>197</v>
      </c>
      <c r="D967" s="217" t="s">
        <v>81</v>
      </c>
      <c r="E967" s="118" t="s">
        <v>152</v>
      </c>
      <c r="F967" s="300"/>
      <c r="G967" s="344">
        <f>'Пр.4 Ведом23'!G1013</f>
        <v>581.70000000000005</v>
      </c>
      <c r="H967" s="344">
        <f>'Пр.4 Ведом23'!H1013</f>
        <v>581.70000000000005</v>
      </c>
      <c r="I967" s="102">
        <f t="shared" si="84"/>
        <v>100</v>
      </c>
      <c r="J967" s="125"/>
      <c r="K967" s="125"/>
      <c r="L967" s="125"/>
      <c r="M967" s="125"/>
      <c r="N967" s="125"/>
    </row>
    <row r="968" spans="1:14" s="131" customFormat="1" ht="31.5" x14ac:dyDescent="0.25">
      <c r="A968" s="68" t="s">
        <v>889</v>
      </c>
      <c r="B968" s="218" t="s">
        <v>374</v>
      </c>
      <c r="C968" s="118" t="s">
        <v>197</v>
      </c>
      <c r="D968" s="217" t="s">
        <v>81</v>
      </c>
      <c r="E968" s="118" t="s">
        <v>152</v>
      </c>
      <c r="F968" s="300">
        <v>907</v>
      </c>
      <c r="G968" s="344">
        <f>G967</f>
        <v>581.70000000000005</v>
      </c>
      <c r="H968" s="344">
        <f>H967</f>
        <v>581.70000000000005</v>
      </c>
      <c r="I968" s="102">
        <f t="shared" si="84"/>
        <v>100</v>
      </c>
      <c r="J968" s="125"/>
      <c r="K968" s="125"/>
      <c r="L968" s="125"/>
      <c r="M968" s="125"/>
      <c r="N968" s="125"/>
    </row>
    <row r="969" spans="1:14" s="131" customFormat="1" ht="15.75" x14ac:dyDescent="0.25">
      <c r="A969" s="68" t="s">
        <v>997</v>
      </c>
      <c r="B969" s="218" t="s">
        <v>339</v>
      </c>
      <c r="C969" s="118" t="s">
        <v>197</v>
      </c>
      <c r="D969" s="217" t="s">
        <v>120</v>
      </c>
      <c r="E969" s="118"/>
      <c r="F969" s="300"/>
      <c r="G969" s="344">
        <f t="shared" ref="G969:H971" si="89">G970</f>
        <v>204.6</v>
      </c>
      <c r="H969" s="344">
        <f t="shared" si="89"/>
        <v>204.6</v>
      </c>
      <c r="I969" s="102">
        <f t="shared" si="84"/>
        <v>100</v>
      </c>
      <c r="J969" s="125"/>
      <c r="K969" s="125"/>
      <c r="L969" s="125"/>
      <c r="M969" s="125"/>
      <c r="N969" s="125"/>
    </row>
    <row r="970" spans="1:14" s="131" customFormat="1" ht="47.25" x14ac:dyDescent="0.25">
      <c r="A970" s="215" t="s">
        <v>274</v>
      </c>
      <c r="B970" s="218" t="s">
        <v>374</v>
      </c>
      <c r="C970" s="118" t="s">
        <v>197</v>
      </c>
      <c r="D970" s="217" t="s">
        <v>120</v>
      </c>
      <c r="E970" s="118"/>
      <c r="F970" s="300"/>
      <c r="G970" s="344">
        <f t="shared" si="89"/>
        <v>204.6</v>
      </c>
      <c r="H970" s="344">
        <f t="shared" si="89"/>
        <v>204.6</v>
      </c>
      <c r="I970" s="102">
        <f t="shared" si="84"/>
        <v>100</v>
      </c>
      <c r="J970" s="125"/>
      <c r="K970" s="125"/>
      <c r="L970" s="125"/>
      <c r="M970" s="125"/>
      <c r="N970" s="125"/>
    </row>
    <row r="971" spans="1:14" s="131" customFormat="1" ht="47.25" x14ac:dyDescent="0.25">
      <c r="A971" s="215" t="s">
        <v>149</v>
      </c>
      <c r="B971" s="218" t="s">
        <v>374</v>
      </c>
      <c r="C971" s="118" t="s">
        <v>197</v>
      </c>
      <c r="D971" s="217" t="s">
        <v>120</v>
      </c>
      <c r="E971" s="118" t="s">
        <v>150</v>
      </c>
      <c r="F971" s="300"/>
      <c r="G971" s="344">
        <f t="shared" si="89"/>
        <v>204.6</v>
      </c>
      <c r="H971" s="344">
        <f t="shared" si="89"/>
        <v>204.6</v>
      </c>
      <c r="I971" s="102">
        <f t="shared" si="84"/>
        <v>100</v>
      </c>
      <c r="J971" s="125"/>
      <c r="K971" s="125"/>
      <c r="L971" s="125"/>
      <c r="M971" s="125"/>
      <c r="N971" s="125"/>
    </row>
    <row r="972" spans="1:14" s="131" customFormat="1" ht="15.75" x14ac:dyDescent="0.25">
      <c r="A972" s="215" t="s">
        <v>151</v>
      </c>
      <c r="B972" s="218" t="s">
        <v>374</v>
      </c>
      <c r="C972" s="118" t="s">
        <v>197</v>
      </c>
      <c r="D972" s="217" t="s">
        <v>120</v>
      </c>
      <c r="E972" s="118" t="s">
        <v>152</v>
      </c>
      <c r="F972" s="300"/>
      <c r="G972" s="344">
        <f>'Пр.4 Ведом23'!G1050</f>
        <v>204.6</v>
      </c>
      <c r="H972" s="344">
        <f>'Пр.4 Ведом23'!H1050</f>
        <v>204.6</v>
      </c>
      <c r="I972" s="102">
        <f t="shared" si="84"/>
        <v>100</v>
      </c>
      <c r="J972" s="125"/>
      <c r="K972" s="125"/>
      <c r="L972" s="125"/>
      <c r="M972" s="125"/>
      <c r="N972" s="125"/>
    </row>
    <row r="973" spans="1:14" s="131" customFormat="1" ht="31.5" x14ac:dyDescent="0.25">
      <c r="A973" s="68" t="s">
        <v>889</v>
      </c>
      <c r="B973" s="218" t="s">
        <v>374</v>
      </c>
      <c r="C973" s="118" t="s">
        <v>197</v>
      </c>
      <c r="D973" s="217" t="s">
        <v>120</v>
      </c>
      <c r="E973" s="118" t="s">
        <v>152</v>
      </c>
      <c r="F973" s="300">
        <v>907</v>
      </c>
      <c r="G973" s="344">
        <f>G972</f>
        <v>204.6</v>
      </c>
      <c r="H973" s="344">
        <f>H972</f>
        <v>204.6</v>
      </c>
      <c r="I973" s="102">
        <f t="shared" si="84"/>
        <v>100</v>
      </c>
      <c r="J973" s="125"/>
      <c r="K973" s="125"/>
      <c r="L973" s="125"/>
      <c r="M973" s="125"/>
      <c r="N973" s="125"/>
    </row>
    <row r="974" spans="1:14" s="131" customFormat="1" ht="15.75" x14ac:dyDescent="0.25">
      <c r="A974" s="19" t="s">
        <v>230</v>
      </c>
      <c r="B974" s="218" t="s">
        <v>339</v>
      </c>
      <c r="C974" s="118" t="s">
        <v>132</v>
      </c>
      <c r="D974" s="217"/>
      <c r="E974" s="118"/>
      <c r="F974" s="300"/>
      <c r="G974" s="344">
        <f t="shared" ref="G974:H977" si="90">G975</f>
        <v>78</v>
      </c>
      <c r="H974" s="344">
        <f t="shared" si="90"/>
        <v>78</v>
      </c>
      <c r="I974" s="102">
        <f t="shared" si="84"/>
        <v>100</v>
      </c>
      <c r="J974" s="125"/>
      <c r="K974" s="125"/>
      <c r="L974" s="125"/>
      <c r="M974" s="125"/>
      <c r="N974" s="125"/>
    </row>
    <row r="975" spans="1:14" s="131" customFormat="1" ht="15.75" x14ac:dyDescent="0.25">
      <c r="A975" s="19" t="s">
        <v>231</v>
      </c>
      <c r="B975" s="218" t="s">
        <v>339</v>
      </c>
      <c r="C975" s="118" t="s">
        <v>132</v>
      </c>
      <c r="D975" s="217" t="s">
        <v>119</v>
      </c>
      <c r="E975" s="118"/>
      <c r="F975" s="300"/>
      <c r="G975" s="344">
        <f t="shared" si="90"/>
        <v>78</v>
      </c>
      <c r="H975" s="344">
        <f t="shared" si="90"/>
        <v>78</v>
      </c>
      <c r="I975" s="102">
        <f t="shared" si="84"/>
        <v>100</v>
      </c>
      <c r="J975" s="125"/>
      <c r="K975" s="125"/>
      <c r="L975" s="125"/>
      <c r="M975" s="125"/>
      <c r="N975" s="125"/>
    </row>
    <row r="976" spans="1:14" s="131" customFormat="1" ht="47.25" x14ac:dyDescent="0.25">
      <c r="A976" s="26" t="s">
        <v>449</v>
      </c>
      <c r="B976" s="218" t="s">
        <v>340</v>
      </c>
      <c r="C976" s="118" t="s">
        <v>132</v>
      </c>
      <c r="D976" s="217" t="s">
        <v>119</v>
      </c>
      <c r="E976" s="118"/>
      <c r="F976" s="300"/>
      <c r="G976" s="344">
        <f t="shared" si="90"/>
        <v>78</v>
      </c>
      <c r="H976" s="344">
        <f t="shared" si="90"/>
        <v>78</v>
      </c>
      <c r="I976" s="102">
        <f t="shared" si="84"/>
        <v>100</v>
      </c>
      <c r="J976" s="125"/>
      <c r="K976" s="125"/>
      <c r="L976" s="125"/>
      <c r="M976" s="125"/>
      <c r="N976" s="125"/>
    </row>
    <row r="977" spans="1:14" s="131" customFormat="1" ht="31.5" x14ac:dyDescent="0.25">
      <c r="A977" s="215" t="s">
        <v>88</v>
      </c>
      <c r="B977" s="218" t="s">
        <v>340</v>
      </c>
      <c r="C977" s="118" t="s">
        <v>132</v>
      </c>
      <c r="D977" s="217" t="s">
        <v>119</v>
      </c>
      <c r="E977" s="118" t="s">
        <v>89</v>
      </c>
      <c r="F977" s="300"/>
      <c r="G977" s="344">
        <f t="shared" si="90"/>
        <v>78</v>
      </c>
      <c r="H977" s="344">
        <f t="shared" si="90"/>
        <v>78</v>
      </c>
      <c r="I977" s="102">
        <f t="shared" ref="I977:I1040" si="91">H977/G977*100</f>
        <v>100</v>
      </c>
      <c r="J977" s="125"/>
      <c r="K977" s="125"/>
      <c r="L977" s="125"/>
      <c r="M977" s="125"/>
      <c r="N977" s="125"/>
    </row>
    <row r="978" spans="1:14" s="131" customFormat="1" ht="47.25" x14ac:dyDescent="0.25">
      <c r="A978" s="215" t="s">
        <v>90</v>
      </c>
      <c r="B978" s="218" t="s">
        <v>340</v>
      </c>
      <c r="C978" s="118" t="s">
        <v>132</v>
      </c>
      <c r="D978" s="217" t="s">
        <v>119</v>
      </c>
      <c r="E978" s="118" t="s">
        <v>91</v>
      </c>
      <c r="F978" s="300"/>
      <c r="G978" s="344">
        <f>'Пр.4 Ведом23'!G636</f>
        <v>78</v>
      </c>
      <c r="H978" s="344">
        <f>'Пр.4 Ведом23'!H636</f>
        <v>78</v>
      </c>
      <c r="I978" s="102">
        <f t="shared" si="91"/>
        <v>100</v>
      </c>
      <c r="J978" s="125"/>
      <c r="K978" s="125"/>
      <c r="L978" s="125"/>
      <c r="M978" s="125"/>
      <c r="N978" s="125"/>
    </row>
    <row r="979" spans="1:14" s="131" customFormat="1" ht="47.25" x14ac:dyDescent="0.25">
      <c r="A979" s="215" t="s">
        <v>876</v>
      </c>
      <c r="B979" s="218" t="s">
        <v>340</v>
      </c>
      <c r="C979" s="118" t="s">
        <v>132</v>
      </c>
      <c r="D979" s="217" t="s">
        <v>119</v>
      </c>
      <c r="E979" s="118" t="s">
        <v>91</v>
      </c>
      <c r="F979" s="300">
        <v>903</v>
      </c>
      <c r="G979" s="344">
        <f>G978</f>
        <v>78</v>
      </c>
      <c r="H979" s="344">
        <f>H978</f>
        <v>78</v>
      </c>
      <c r="I979" s="102">
        <f t="shared" si="91"/>
        <v>100</v>
      </c>
      <c r="J979" s="125"/>
      <c r="K979" s="125"/>
      <c r="L979" s="125"/>
      <c r="M979" s="125"/>
      <c r="N979" s="125"/>
    </row>
    <row r="980" spans="1:14" s="131" customFormat="1" ht="31.5" x14ac:dyDescent="0.25">
      <c r="A980" s="180" t="s">
        <v>450</v>
      </c>
      <c r="B980" s="117" t="s">
        <v>316</v>
      </c>
      <c r="C980" s="119"/>
      <c r="D980" s="217"/>
      <c r="E980" s="119"/>
      <c r="F980" s="300"/>
      <c r="G980" s="302">
        <f t="shared" ref="G980:H984" si="92">G981</f>
        <v>15</v>
      </c>
      <c r="H980" s="567">
        <f t="shared" si="92"/>
        <v>15</v>
      </c>
      <c r="I980" s="221">
        <f t="shared" si="91"/>
        <v>100</v>
      </c>
      <c r="J980" s="125"/>
      <c r="K980" s="125"/>
      <c r="L980" s="125"/>
      <c r="M980" s="125"/>
      <c r="N980" s="125"/>
    </row>
    <row r="981" spans="1:14" s="131" customFormat="1" ht="15.75" x14ac:dyDescent="0.25">
      <c r="A981" s="19" t="s">
        <v>80</v>
      </c>
      <c r="B981" s="218" t="s">
        <v>316</v>
      </c>
      <c r="C981" s="118" t="s">
        <v>81</v>
      </c>
      <c r="D981" s="217"/>
      <c r="E981" s="119"/>
      <c r="F981" s="300"/>
      <c r="G981" s="344">
        <f t="shared" si="92"/>
        <v>15</v>
      </c>
      <c r="H981" s="344">
        <f t="shared" si="92"/>
        <v>15</v>
      </c>
      <c r="I981" s="102">
        <f t="shared" si="91"/>
        <v>100</v>
      </c>
      <c r="J981" s="125"/>
      <c r="K981" s="125"/>
      <c r="L981" s="125"/>
      <c r="M981" s="125"/>
      <c r="N981" s="125"/>
    </row>
    <row r="982" spans="1:14" s="131" customFormat="1" ht="15.75" x14ac:dyDescent="0.25">
      <c r="A982" s="19" t="s">
        <v>95</v>
      </c>
      <c r="B982" s="218" t="s">
        <v>316</v>
      </c>
      <c r="C982" s="118" t="s">
        <v>81</v>
      </c>
      <c r="D982" s="217" t="s">
        <v>96</v>
      </c>
      <c r="E982" s="119"/>
      <c r="F982" s="300"/>
      <c r="G982" s="344">
        <f t="shared" si="92"/>
        <v>15</v>
      </c>
      <c r="H982" s="344">
        <f t="shared" si="92"/>
        <v>15</v>
      </c>
      <c r="I982" s="102">
        <f t="shared" si="91"/>
        <v>100</v>
      </c>
      <c r="J982" s="125"/>
      <c r="K982" s="125"/>
      <c r="L982" s="125"/>
      <c r="M982" s="125"/>
      <c r="N982" s="125"/>
    </row>
    <row r="983" spans="1:14" s="131" customFormat="1" ht="31.5" x14ac:dyDescent="0.25">
      <c r="A983" s="26" t="s">
        <v>272</v>
      </c>
      <c r="B983" s="218" t="s">
        <v>311</v>
      </c>
      <c r="C983" s="118" t="s">
        <v>81</v>
      </c>
      <c r="D983" s="217" t="s">
        <v>96</v>
      </c>
      <c r="E983" s="118"/>
      <c r="F983" s="300"/>
      <c r="G983" s="344">
        <f t="shared" si="92"/>
        <v>15</v>
      </c>
      <c r="H983" s="344">
        <f t="shared" si="92"/>
        <v>15</v>
      </c>
      <c r="I983" s="102">
        <f t="shared" si="91"/>
        <v>100</v>
      </c>
      <c r="J983" s="125"/>
      <c r="K983" s="125"/>
      <c r="L983" s="125"/>
      <c r="M983" s="125"/>
      <c r="N983" s="125"/>
    </row>
    <row r="984" spans="1:14" s="131" customFormat="1" ht="31.5" x14ac:dyDescent="0.25">
      <c r="A984" s="215" t="s">
        <v>88</v>
      </c>
      <c r="B984" s="218" t="s">
        <v>311</v>
      </c>
      <c r="C984" s="118" t="s">
        <v>81</v>
      </c>
      <c r="D984" s="217" t="s">
        <v>96</v>
      </c>
      <c r="E984" s="118" t="s">
        <v>89</v>
      </c>
      <c r="F984" s="300"/>
      <c r="G984" s="344">
        <f t="shared" si="92"/>
        <v>15</v>
      </c>
      <c r="H984" s="344">
        <f t="shared" si="92"/>
        <v>15</v>
      </c>
      <c r="I984" s="102">
        <f t="shared" si="91"/>
        <v>100</v>
      </c>
      <c r="J984" s="125"/>
      <c r="K984" s="125"/>
      <c r="L984" s="125"/>
      <c r="M984" s="125"/>
      <c r="N984" s="125"/>
    </row>
    <row r="985" spans="1:14" s="131" customFormat="1" ht="47.25" x14ac:dyDescent="0.25">
      <c r="A985" s="215" t="s">
        <v>90</v>
      </c>
      <c r="B985" s="218" t="s">
        <v>311</v>
      </c>
      <c r="C985" s="118" t="s">
        <v>81</v>
      </c>
      <c r="D985" s="217" t="s">
        <v>96</v>
      </c>
      <c r="E985" s="118" t="s">
        <v>91</v>
      </c>
      <c r="F985" s="300"/>
      <c r="G985" s="344">
        <f>'Пр.4 Ведом23'!G173</f>
        <v>15</v>
      </c>
      <c r="H985" s="344">
        <f>'Пр.4 Ведом23'!H173</f>
        <v>15</v>
      </c>
      <c r="I985" s="102">
        <f t="shared" si="91"/>
        <v>100</v>
      </c>
      <c r="J985" s="125"/>
      <c r="K985" s="125"/>
      <c r="L985" s="125"/>
      <c r="M985" s="125"/>
      <c r="N985" s="125"/>
    </row>
    <row r="986" spans="1:14" s="131" customFormat="1" ht="31.5" x14ac:dyDescent="0.25">
      <c r="A986" s="19" t="s">
        <v>880</v>
      </c>
      <c r="B986" s="218" t="s">
        <v>311</v>
      </c>
      <c r="C986" s="118" t="s">
        <v>81</v>
      </c>
      <c r="D986" s="217" t="s">
        <v>96</v>
      </c>
      <c r="E986" s="118" t="s">
        <v>91</v>
      </c>
      <c r="F986" s="300">
        <v>902</v>
      </c>
      <c r="G986" s="344">
        <f>G985</f>
        <v>15</v>
      </c>
      <c r="H986" s="344">
        <f>H985</f>
        <v>15</v>
      </c>
      <c r="I986" s="102">
        <f t="shared" si="91"/>
        <v>100</v>
      </c>
      <c r="J986" s="125"/>
      <c r="K986" s="125"/>
      <c r="L986" s="125"/>
      <c r="M986" s="125"/>
      <c r="N986" s="125"/>
    </row>
    <row r="987" spans="1:14" s="131" customFormat="1" ht="31.5" hidden="1" x14ac:dyDescent="0.25">
      <c r="A987" s="180" t="s">
        <v>702</v>
      </c>
      <c r="B987" s="117" t="s">
        <v>703</v>
      </c>
      <c r="C987" s="119"/>
      <c r="D987" s="217"/>
      <c r="E987" s="119"/>
      <c r="F987" s="300"/>
      <c r="G987" s="302">
        <f>G988+G994</f>
        <v>0</v>
      </c>
      <c r="H987" s="567">
        <f>H988+H994</f>
        <v>0</v>
      </c>
      <c r="I987" s="102" t="e">
        <f t="shared" si="91"/>
        <v>#DIV/0!</v>
      </c>
      <c r="J987" s="125"/>
      <c r="K987" s="125"/>
      <c r="L987" s="125"/>
      <c r="M987" s="125"/>
      <c r="N987" s="125"/>
    </row>
    <row r="988" spans="1:14" s="131" customFormat="1" ht="31.5" hidden="1" x14ac:dyDescent="0.25">
      <c r="A988" s="215" t="s">
        <v>124</v>
      </c>
      <c r="B988" s="218" t="s">
        <v>703</v>
      </c>
      <c r="C988" s="118" t="s">
        <v>120</v>
      </c>
      <c r="D988" s="217"/>
      <c r="E988" s="119"/>
      <c r="F988" s="300"/>
      <c r="G988" s="344">
        <f t="shared" ref="G988:H991" si="93">G989</f>
        <v>0</v>
      </c>
      <c r="H988" s="344">
        <f t="shared" si="93"/>
        <v>0</v>
      </c>
      <c r="I988" s="102" t="e">
        <f t="shared" si="91"/>
        <v>#DIV/0!</v>
      </c>
      <c r="J988" s="125"/>
      <c r="K988" s="125"/>
      <c r="L988" s="125"/>
      <c r="M988" s="125"/>
      <c r="N988" s="125"/>
    </row>
    <row r="989" spans="1:14" s="131" customFormat="1" ht="47.25" hidden="1" x14ac:dyDescent="0.25">
      <c r="A989" s="215" t="s">
        <v>640</v>
      </c>
      <c r="B989" s="218" t="s">
        <v>703</v>
      </c>
      <c r="C989" s="118" t="s">
        <v>120</v>
      </c>
      <c r="D989" s="217" t="s">
        <v>134</v>
      </c>
      <c r="E989" s="119"/>
      <c r="F989" s="300"/>
      <c r="G989" s="344">
        <f t="shared" si="93"/>
        <v>0</v>
      </c>
      <c r="H989" s="344">
        <f t="shared" si="93"/>
        <v>0</v>
      </c>
      <c r="I989" s="102" t="e">
        <f t="shared" si="91"/>
        <v>#DIV/0!</v>
      </c>
      <c r="J989" s="125"/>
      <c r="K989" s="125"/>
      <c r="L989" s="125"/>
      <c r="M989" s="125"/>
      <c r="N989" s="125"/>
    </row>
    <row r="990" spans="1:14" s="131" customFormat="1" ht="15.75" hidden="1" x14ac:dyDescent="0.25">
      <c r="A990" s="215" t="s">
        <v>126</v>
      </c>
      <c r="B990" s="218" t="s">
        <v>704</v>
      </c>
      <c r="C990" s="118" t="s">
        <v>120</v>
      </c>
      <c r="D990" s="217" t="s">
        <v>134</v>
      </c>
      <c r="E990" s="118"/>
      <c r="F990" s="300"/>
      <c r="G990" s="344">
        <f t="shared" si="93"/>
        <v>0</v>
      </c>
      <c r="H990" s="344">
        <f t="shared" si="93"/>
        <v>0</v>
      </c>
      <c r="I990" s="102" t="e">
        <f t="shared" si="91"/>
        <v>#DIV/0!</v>
      </c>
      <c r="J990" s="125"/>
      <c r="K990" s="125"/>
      <c r="L990" s="125"/>
      <c r="M990" s="125"/>
      <c r="N990" s="125"/>
    </row>
    <row r="991" spans="1:14" s="131" customFormat="1" ht="31.5" hidden="1" x14ac:dyDescent="0.25">
      <c r="A991" s="215" t="s">
        <v>88</v>
      </c>
      <c r="B991" s="218" t="s">
        <v>704</v>
      </c>
      <c r="C991" s="118" t="s">
        <v>120</v>
      </c>
      <c r="D991" s="217" t="s">
        <v>134</v>
      </c>
      <c r="E991" s="118" t="s">
        <v>89</v>
      </c>
      <c r="F991" s="300"/>
      <c r="G991" s="344">
        <f t="shared" si="93"/>
        <v>0</v>
      </c>
      <c r="H991" s="344">
        <f t="shared" si="93"/>
        <v>0</v>
      </c>
      <c r="I991" s="102" t="e">
        <f t="shared" si="91"/>
        <v>#DIV/0!</v>
      </c>
      <c r="J991" s="125"/>
      <c r="K991" s="125"/>
      <c r="L991" s="125"/>
      <c r="M991" s="125"/>
      <c r="N991" s="125"/>
    </row>
    <row r="992" spans="1:14" s="131" customFormat="1" ht="47.25" hidden="1" x14ac:dyDescent="0.25">
      <c r="A992" s="215" t="s">
        <v>90</v>
      </c>
      <c r="B992" s="218" t="s">
        <v>704</v>
      </c>
      <c r="C992" s="118" t="s">
        <v>120</v>
      </c>
      <c r="D992" s="217" t="s">
        <v>134</v>
      </c>
      <c r="E992" s="118" t="s">
        <v>91</v>
      </c>
      <c r="F992" s="3"/>
      <c r="G992" s="344">
        <f>'Пр.4 Ведом23'!G229</f>
        <v>0</v>
      </c>
      <c r="H992" s="344">
        <f>'Пр.4 Ведом23'!H229</f>
        <v>0</v>
      </c>
      <c r="I992" s="102" t="e">
        <f t="shared" si="91"/>
        <v>#DIV/0!</v>
      </c>
      <c r="J992" s="125"/>
      <c r="K992" s="125"/>
      <c r="L992" s="125"/>
      <c r="M992" s="125"/>
      <c r="N992" s="125"/>
    </row>
    <row r="993" spans="1:14" s="131" customFormat="1" ht="31.5" hidden="1" x14ac:dyDescent="0.25">
      <c r="A993" s="19" t="s">
        <v>880</v>
      </c>
      <c r="B993" s="218" t="s">
        <v>704</v>
      </c>
      <c r="C993" s="118" t="s">
        <v>120</v>
      </c>
      <c r="D993" s="217" t="s">
        <v>134</v>
      </c>
      <c r="E993" s="118" t="s">
        <v>91</v>
      </c>
      <c r="F993" s="300">
        <v>902</v>
      </c>
      <c r="G993" s="344">
        <f>G992</f>
        <v>0</v>
      </c>
      <c r="H993" s="344">
        <f>H992</f>
        <v>0</v>
      </c>
      <c r="I993" s="102" t="e">
        <f t="shared" si="91"/>
        <v>#DIV/0!</v>
      </c>
      <c r="J993" s="125"/>
      <c r="K993" s="125"/>
      <c r="L993" s="125"/>
      <c r="M993" s="125"/>
      <c r="N993" s="125"/>
    </row>
    <row r="994" spans="1:14" s="59" customFormat="1" ht="15.75" hidden="1" x14ac:dyDescent="0.25">
      <c r="A994" s="19" t="s">
        <v>133</v>
      </c>
      <c r="B994" s="218" t="s">
        <v>703</v>
      </c>
      <c r="C994" s="218" t="s">
        <v>134</v>
      </c>
      <c r="D994" s="217"/>
      <c r="E994" s="218"/>
      <c r="F994" s="300"/>
      <c r="G994" s="344">
        <f>G995</f>
        <v>0</v>
      </c>
      <c r="H994" s="344">
        <f>H995</f>
        <v>0</v>
      </c>
      <c r="I994" s="102" t="e">
        <f t="shared" si="91"/>
        <v>#DIV/0!</v>
      </c>
      <c r="J994" s="125"/>
      <c r="K994" s="125"/>
      <c r="L994" s="125"/>
      <c r="M994" s="125"/>
      <c r="N994" s="125"/>
    </row>
    <row r="995" spans="1:14" s="59" customFormat="1" ht="15.75" hidden="1" x14ac:dyDescent="0.25">
      <c r="A995" s="215" t="s">
        <v>142</v>
      </c>
      <c r="B995" s="218" t="s">
        <v>703</v>
      </c>
      <c r="C995" s="118" t="s">
        <v>134</v>
      </c>
      <c r="D995" s="217" t="s">
        <v>83</v>
      </c>
      <c r="E995" s="118"/>
      <c r="F995" s="300"/>
      <c r="G995" s="344">
        <f>G996+G1000</f>
        <v>0</v>
      </c>
      <c r="H995" s="344">
        <f>H996+H1000</f>
        <v>0</v>
      </c>
      <c r="I995" s="102" t="e">
        <f t="shared" si="91"/>
        <v>#DIV/0!</v>
      </c>
      <c r="J995" s="125"/>
      <c r="K995" s="125"/>
      <c r="L995" s="125"/>
      <c r="M995" s="125"/>
      <c r="N995" s="125"/>
    </row>
    <row r="996" spans="1:14" s="131" customFormat="1" ht="15.75" hidden="1" x14ac:dyDescent="0.25">
      <c r="A996" s="215" t="s">
        <v>126</v>
      </c>
      <c r="B996" s="218" t="s">
        <v>704</v>
      </c>
      <c r="C996" s="118" t="s">
        <v>134</v>
      </c>
      <c r="D996" s="217" t="s">
        <v>83</v>
      </c>
      <c r="E996" s="118"/>
      <c r="F996" s="300"/>
      <c r="G996" s="344">
        <f>G997</f>
        <v>0</v>
      </c>
      <c r="H996" s="344">
        <f>H997</f>
        <v>0</v>
      </c>
      <c r="I996" s="102" t="e">
        <f t="shared" si="91"/>
        <v>#DIV/0!</v>
      </c>
      <c r="J996" s="125"/>
      <c r="K996" s="125"/>
      <c r="L996" s="125"/>
      <c r="M996" s="125"/>
      <c r="N996" s="125"/>
    </row>
    <row r="997" spans="1:14" s="131" customFormat="1" ht="31.5" hidden="1" x14ac:dyDescent="0.25">
      <c r="A997" s="215" t="s">
        <v>88</v>
      </c>
      <c r="B997" s="218" t="s">
        <v>704</v>
      </c>
      <c r="C997" s="118" t="s">
        <v>134</v>
      </c>
      <c r="D997" s="217" t="s">
        <v>83</v>
      </c>
      <c r="E997" s="118" t="s">
        <v>89</v>
      </c>
      <c r="F997" s="300"/>
      <c r="G997" s="344">
        <f>G998</f>
        <v>0</v>
      </c>
      <c r="H997" s="344">
        <f>H998</f>
        <v>0</v>
      </c>
      <c r="I997" s="102" t="e">
        <f t="shared" si="91"/>
        <v>#DIV/0!</v>
      </c>
      <c r="J997" s="125"/>
      <c r="K997" s="125"/>
      <c r="L997" s="125"/>
      <c r="M997" s="125"/>
      <c r="N997" s="125"/>
    </row>
    <row r="998" spans="1:14" s="131" customFormat="1" ht="47.25" hidden="1" x14ac:dyDescent="0.25">
      <c r="A998" s="215" t="s">
        <v>90</v>
      </c>
      <c r="B998" s="218" t="s">
        <v>704</v>
      </c>
      <c r="C998" s="118" t="s">
        <v>134</v>
      </c>
      <c r="D998" s="217" t="s">
        <v>83</v>
      </c>
      <c r="E998" s="118" t="s">
        <v>91</v>
      </c>
      <c r="F998" s="300"/>
      <c r="G998" s="344">
        <f>'Пр.4 Ведом23'!G289</f>
        <v>0</v>
      </c>
      <c r="H998" s="344">
        <f>'Пр.4 Ведом23'!H289</f>
        <v>0</v>
      </c>
      <c r="I998" s="102" t="e">
        <f t="shared" si="91"/>
        <v>#DIV/0!</v>
      </c>
      <c r="J998" s="125"/>
      <c r="K998" s="125"/>
      <c r="L998" s="125"/>
      <c r="M998" s="125"/>
      <c r="N998" s="125"/>
    </row>
    <row r="999" spans="1:14" s="131" customFormat="1" ht="31.5" hidden="1" x14ac:dyDescent="0.25">
      <c r="A999" s="19" t="s">
        <v>880</v>
      </c>
      <c r="B999" s="218" t="s">
        <v>704</v>
      </c>
      <c r="C999" s="118" t="s">
        <v>134</v>
      </c>
      <c r="D999" s="217" t="s">
        <v>83</v>
      </c>
      <c r="E999" s="118" t="s">
        <v>91</v>
      </c>
      <c r="F999" s="300">
        <v>902</v>
      </c>
      <c r="G999" s="344">
        <f>G998</f>
        <v>0</v>
      </c>
      <c r="H999" s="344">
        <f>H998</f>
        <v>0</v>
      </c>
      <c r="I999" s="102" t="e">
        <f t="shared" si="91"/>
        <v>#DIV/0!</v>
      </c>
      <c r="J999" s="125"/>
      <c r="K999" s="125"/>
      <c r="L999" s="125"/>
      <c r="M999" s="125"/>
      <c r="N999" s="125"/>
    </row>
    <row r="1000" spans="1:14" s="131" customFormat="1" ht="63" hidden="1" x14ac:dyDescent="0.25">
      <c r="A1000" s="215" t="s">
        <v>829</v>
      </c>
      <c r="B1000" s="218" t="s">
        <v>713</v>
      </c>
      <c r="C1000" s="118" t="s">
        <v>134</v>
      </c>
      <c r="D1000" s="217" t="s">
        <v>83</v>
      </c>
      <c r="E1000" s="118"/>
      <c r="F1000" s="300"/>
      <c r="G1000" s="344">
        <f>G1001</f>
        <v>0</v>
      </c>
      <c r="H1000" s="344">
        <f>H1001</f>
        <v>0</v>
      </c>
      <c r="I1000" s="102" t="e">
        <f t="shared" si="91"/>
        <v>#DIV/0!</v>
      </c>
      <c r="J1000" s="125"/>
      <c r="K1000" s="125"/>
      <c r="L1000" s="125"/>
      <c r="M1000" s="125"/>
      <c r="N1000" s="125"/>
    </row>
    <row r="1001" spans="1:14" s="131" customFormat="1" ht="31.5" hidden="1" x14ac:dyDescent="0.25">
      <c r="A1001" s="215" t="s">
        <v>137</v>
      </c>
      <c r="B1001" s="218" t="s">
        <v>713</v>
      </c>
      <c r="C1001" s="118" t="s">
        <v>134</v>
      </c>
      <c r="D1001" s="217" t="s">
        <v>83</v>
      </c>
      <c r="E1001" s="118" t="s">
        <v>138</v>
      </c>
      <c r="F1001" s="300"/>
      <c r="G1001" s="344">
        <f>G1002</f>
        <v>0</v>
      </c>
      <c r="H1001" s="344">
        <f>H1002</f>
        <v>0</v>
      </c>
      <c r="I1001" s="102" t="e">
        <f t="shared" si="91"/>
        <v>#DIV/0!</v>
      </c>
      <c r="J1001" s="125"/>
      <c r="K1001" s="125"/>
      <c r="L1001" s="125"/>
      <c r="M1001" s="125"/>
      <c r="N1001" s="125"/>
    </row>
    <row r="1002" spans="1:14" s="131" customFormat="1" ht="31.5" hidden="1" x14ac:dyDescent="0.25">
      <c r="A1002" s="215" t="s">
        <v>139</v>
      </c>
      <c r="B1002" s="218" t="s">
        <v>713</v>
      </c>
      <c r="C1002" s="118" t="s">
        <v>134</v>
      </c>
      <c r="D1002" s="217" t="s">
        <v>83</v>
      </c>
      <c r="E1002" s="118" t="s">
        <v>140</v>
      </c>
      <c r="F1002" s="300"/>
      <c r="G1002" s="344">
        <f>'Пр.4 Ведом23'!G292</f>
        <v>0</v>
      </c>
      <c r="H1002" s="344">
        <f>'Пр.4 Ведом23'!H292</f>
        <v>0</v>
      </c>
      <c r="I1002" s="102" t="e">
        <f t="shared" si="91"/>
        <v>#DIV/0!</v>
      </c>
      <c r="J1002" s="125"/>
      <c r="K1002" s="125"/>
      <c r="L1002" s="125"/>
      <c r="M1002" s="125"/>
      <c r="N1002" s="125"/>
    </row>
    <row r="1003" spans="1:14" s="131" customFormat="1" ht="31.5" hidden="1" x14ac:dyDescent="0.25">
      <c r="A1003" s="19" t="s">
        <v>880</v>
      </c>
      <c r="B1003" s="218" t="s">
        <v>713</v>
      </c>
      <c r="C1003" s="118" t="s">
        <v>134</v>
      </c>
      <c r="D1003" s="217" t="s">
        <v>83</v>
      </c>
      <c r="E1003" s="118" t="s">
        <v>140</v>
      </c>
      <c r="F1003" s="300">
        <v>902</v>
      </c>
      <c r="G1003" s="344">
        <f>G1002</f>
        <v>0</v>
      </c>
      <c r="H1003" s="344">
        <f>H1002</f>
        <v>0</v>
      </c>
      <c r="I1003" s="102" t="e">
        <f t="shared" si="91"/>
        <v>#DIV/0!</v>
      </c>
      <c r="J1003" s="125"/>
      <c r="K1003" s="125"/>
      <c r="L1003" s="125"/>
      <c r="M1003" s="125"/>
      <c r="N1003" s="125"/>
    </row>
    <row r="1004" spans="1:14" s="131" customFormat="1" ht="31.5" x14ac:dyDescent="0.25">
      <c r="A1004" s="180" t="s">
        <v>702</v>
      </c>
      <c r="B1004" s="117" t="s">
        <v>703</v>
      </c>
      <c r="C1004" s="118"/>
      <c r="D1004" s="217"/>
      <c r="E1004" s="118"/>
      <c r="F1004" s="300"/>
      <c r="G1004" s="302">
        <f t="shared" ref="G1004:H1008" si="94">G1005</f>
        <v>1069.5274299999999</v>
      </c>
      <c r="H1004" s="567">
        <f t="shared" si="94"/>
        <v>1041.8389999999999</v>
      </c>
      <c r="I1004" s="221">
        <f t="shared" si="91"/>
        <v>97.41115288646688</v>
      </c>
      <c r="J1004" s="125"/>
      <c r="K1004" s="125"/>
      <c r="L1004" s="125"/>
      <c r="M1004" s="125"/>
      <c r="N1004" s="125"/>
    </row>
    <row r="1005" spans="1:14" s="131" customFormat="1" ht="15.75" x14ac:dyDescent="0.25">
      <c r="A1005" s="19" t="s">
        <v>133</v>
      </c>
      <c r="B1005" s="218" t="s">
        <v>703</v>
      </c>
      <c r="C1005" s="118" t="s">
        <v>134</v>
      </c>
      <c r="D1005" s="217"/>
      <c r="E1005" s="118"/>
      <c r="F1005" s="300"/>
      <c r="G1005" s="344">
        <f t="shared" si="94"/>
        <v>1069.5274299999999</v>
      </c>
      <c r="H1005" s="344">
        <f t="shared" si="94"/>
        <v>1041.8389999999999</v>
      </c>
      <c r="I1005" s="102">
        <f t="shared" si="91"/>
        <v>97.41115288646688</v>
      </c>
      <c r="J1005" s="125"/>
      <c r="K1005" s="125"/>
      <c r="L1005" s="125"/>
      <c r="M1005" s="125"/>
      <c r="N1005" s="125"/>
    </row>
    <row r="1006" spans="1:14" s="131" customFormat="1" ht="15.75" x14ac:dyDescent="0.25">
      <c r="A1006" s="215" t="s">
        <v>142</v>
      </c>
      <c r="B1006" s="218" t="s">
        <v>703</v>
      </c>
      <c r="C1006" s="118" t="s">
        <v>134</v>
      </c>
      <c r="D1006" s="217" t="s">
        <v>83</v>
      </c>
      <c r="E1006" s="118"/>
      <c r="F1006" s="300"/>
      <c r="G1006" s="344">
        <f t="shared" si="94"/>
        <v>1069.5274299999999</v>
      </c>
      <c r="H1006" s="344">
        <f t="shared" si="94"/>
        <v>1041.8389999999999</v>
      </c>
      <c r="I1006" s="102">
        <f t="shared" si="91"/>
        <v>97.41115288646688</v>
      </c>
      <c r="J1006" s="125"/>
      <c r="K1006" s="125"/>
      <c r="L1006" s="125"/>
      <c r="M1006" s="125"/>
      <c r="N1006" s="125"/>
    </row>
    <row r="1007" spans="1:14" s="131" customFormat="1" ht="63" x14ac:dyDescent="0.25">
      <c r="A1007" s="215" t="s">
        <v>1068</v>
      </c>
      <c r="B1007" s="218" t="s">
        <v>1059</v>
      </c>
      <c r="C1007" s="118" t="s">
        <v>134</v>
      </c>
      <c r="D1007" s="217" t="s">
        <v>83</v>
      </c>
      <c r="E1007" s="118"/>
      <c r="F1007" s="300"/>
      <c r="G1007" s="344">
        <f t="shared" si="94"/>
        <v>1069.5274299999999</v>
      </c>
      <c r="H1007" s="344">
        <f t="shared" si="94"/>
        <v>1041.8389999999999</v>
      </c>
      <c r="I1007" s="102">
        <f t="shared" si="91"/>
        <v>97.41115288646688</v>
      </c>
      <c r="J1007" s="125"/>
      <c r="K1007" s="125"/>
      <c r="L1007" s="125"/>
      <c r="M1007" s="125"/>
      <c r="N1007" s="125"/>
    </row>
    <row r="1008" spans="1:14" s="131" customFormat="1" ht="22.15" customHeight="1" x14ac:dyDescent="0.25">
      <c r="A1008" s="215" t="s">
        <v>137</v>
      </c>
      <c r="B1008" s="218" t="s">
        <v>1059</v>
      </c>
      <c r="C1008" s="118" t="s">
        <v>134</v>
      </c>
      <c r="D1008" s="217" t="s">
        <v>83</v>
      </c>
      <c r="E1008" s="118" t="s">
        <v>138</v>
      </c>
      <c r="F1008" s="300"/>
      <c r="G1008" s="344">
        <f t="shared" si="94"/>
        <v>1069.5274299999999</v>
      </c>
      <c r="H1008" s="344">
        <f t="shared" si="94"/>
        <v>1041.8389999999999</v>
      </c>
      <c r="I1008" s="102">
        <f t="shared" si="91"/>
        <v>97.41115288646688</v>
      </c>
      <c r="J1008" s="125"/>
      <c r="K1008" s="125"/>
      <c r="L1008" s="125"/>
      <c r="M1008" s="125"/>
      <c r="N1008" s="125"/>
    </row>
    <row r="1009" spans="1:14" s="131" customFormat="1" ht="31.5" x14ac:dyDescent="0.25">
      <c r="A1009" s="215" t="s">
        <v>139</v>
      </c>
      <c r="B1009" s="218" t="s">
        <v>1059</v>
      </c>
      <c r="C1009" s="118" t="s">
        <v>134</v>
      </c>
      <c r="D1009" s="217" t="s">
        <v>83</v>
      </c>
      <c r="E1009" s="118" t="s">
        <v>140</v>
      </c>
      <c r="F1009" s="300"/>
      <c r="G1009" s="344">
        <f>'Пр.4 Ведом23'!G296</f>
        <v>1069.5274299999999</v>
      </c>
      <c r="H1009" s="344">
        <f>'Пр.4 Ведом23'!H296</f>
        <v>1041.8389999999999</v>
      </c>
      <c r="I1009" s="102">
        <f t="shared" si="91"/>
        <v>97.41115288646688</v>
      </c>
      <c r="J1009" s="125"/>
      <c r="K1009" s="125"/>
      <c r="L1009" s="125"/>
      <c r="M1009" s="125"/>
      <c r="N1009" s="125"/>
    </row>
    <row r="1010" spans="1:14" s="131" customFormat="1" ht="31.5" x14ac:dyDescent="0.25">
      <c r="A1010" s="215" t="s">
        <v>880</v>
      </c>
      <c r="B1010" s="218" t="s">
        <v>1059</v>
      </c>
      <c r="C1010" s="118" t="s">
        <v>134</v>
      </c>
      <c r="D1010" s="217" t="s">
        <v>83</v>
      </c>
      <c r="E1010" s="118" t="s">
        <v>140</v>
      </c>
      <c r="F1010" s="300">
        <v>902</v>
      </c>
      <c r="G1010" s="344">
        <f>G1009</f>
        <v>1069.5274299999999</v>
      </c>
      <c r="H1010" s="344">
        <f>H1009</f>
        <v>1041.8389999999999</v>
      </c>
      <c r="I1010" s="102">
        <f t="shared" si="91"/>
        <v>97.41115288646688</v>
      </c>
      <c r="J1010" s="125"/>
      <c r="K1010" s="125"/>
      <c r="L1010" s="125"/>
      <c r="M1010" s="125"/>
      <c r="N1010" s="125"/>
    </row>
    <row r="1011" spans="1:14" s="131" customFormat="1" ht="63" x14ac:dyDescent="0.25">
      <c r="A1011" s="116" t="s">
        <v>903</v>
      </c>
      <c r="B1011" s="117" t="s">
        <v>260</v>
      </c>
      <c r="C1011" s="119"/>
      <c r="D1011" s="6"/>
      <c r="E1011" s="119"/>
      <c r="F1011" s="3"/>
      <c r="G1011" s="302">
        <f>G1012+G1018</f>
        <v>29046.876240000005</v>
      </c>
      <c r="H1011" s="567">
        <f>H1012+H1018</f>
        <v>29005.977999999999</v>
      </c>
      <c r="I1011" s="221">
        <f t="shared" si="91"/>
        <v>99.85919917976004</v>
      </c>
      <c r="J1011" s="125"/>
      <c r="K1011" s="125"/>
      <c r="L1011" s="125"/>
      <c r="M1011" s="125"/>
      <c r="N1011" s="125"/>
    </row>
    <row r="1012" spans="1:14" s="131" customFormat="1" ht="31.5" x14ac:dyDescent="0.25">
      <c r="A1012" s="116" t="s">
        <v>485</v>
      </c>
      <c r="B1012" s="117" t="s">
        <v>497</v>
      </c>
      <c r="C1012" s="119"/>
      <c r="D1012" s="6"/>
      <c r="E1012" s="119"/>
      <c r="F1012" s="3"/>
      <c r="G1012" s="302">
        <f t="shared" ref="G1012:H1015" si="95">G1013</f>
        <v>27595.694000000007</v>
      </c>
      <c r="H1012" s="567">
        <f t="shared" si="95"/>
        <v>27595.694</v>
      </c>
      <c r="I1012" s="221">
        <f t="shared" si="91"/>
        <v>99.999999999999972</v>
      </c>
      <c r="J1012" s="125"/>
      <c r="K1012" s="125"/>
      <c r="L1012" s="125"/>
      <c r="M1012" s="125"/>
      <c r="N1012" s="125"/>
    </row>
    <row r="1013" spans="1:14" s="131" customFormat="1" ht="15.75" x14ac:dyDescent="0.25">
      <c r="A1013" s="215" t="s">
        <v>216</v>
      </c>
      <c r="B1013" s="218" t="s">
        <v>497</v>
      </c>
      <c r="C1013" s="118" t="s">
        <v>129</v>
      </c>
      <c r="D1013" s="217" t="s">
        <v>120</v>
      </c>
      <c r="E1013" s="118"/>
      <c r="F1013" s="300"/>
      <c r="G1013" s="344">
        <f t="shared" si="95"/>
        <v>27595.694000000007</v>
      </c>
      <c r="H1013" s="344">
        <f t="shared" si="95"/>
        <v>27595.694</v>
      </c>
      <c r="I1013" s="102">
        <f t="shared" si="91"/>
        <v>99.999999999999972</v>
      </c>
      <c r="J1013" s="125"/>
      <c r="K1013" s="125"/>
      <c r="L1013" s="125"/>
      <c r="M1013" s="125"/>
      <c r="N1013" s="125"/>
    </row>
    <row r="1014" spans="1:14" s="131" customFormat="1" ht="31.5" x14ac:dyDescent="0.25">
      <c r="A1014" s="19" t="s">
        <v>1014</v>
      </c>
      <c r="B1014" s="218" t="s">
        <v>300</v>
      </c>
      <c r="C1014" s="118" t="s">
        <v>129</v>
      </c>
      <c r="D1014" s="217" t="s">
        <v>120</v>
      </c>
      <c r="E1014" s="118"/>
      <c r="F1014" s="300"/>
      <c r="G1014" s="344">
        <f t="shared" si="95"/>
        <v>27595.694000000007</v>
      </c>
      <c r="H1014" s="344">
        <f t="shared" si="95"/>
        <v>27595.694</v>
      </c>
      <c r="I1014" s="102">
        <f t="shared" si="91"/>
        <v>99.999999999999972</v>
      </c>
      <c r="J1014" s="125"/>
      <c r="K1014" s="125"/>
      <c r="L1014" s="125"/>
      <c r="M1014" s="125"/>
      <c r="N1014" s="125"/>
    </row>
    <row r="1015" spans="1:14" s="131" customFormat="1" ht="31.5" x14ac:dyDescent="0.25">
      <c r="A1015" s="215" t="s">
        <v>88</v>
      </c>
      <c r="B1015" s="218" t="s">
        <v>300</v>
      </c>
      <c r="C1015" s="118" t="s">
        <v>129</v>
      </c>
      <c r="D1015" s="217" t="s">
        <v>120</v>
      </c>
      <c r="E1015" s="118" t="s">
        <v>89</v>
      </c>
      <c r="F1015" s="300"/>
      <c r="G1015" s="344">
        <f t="shared" si="95"/>
        <v>27595.694000000007</v>
      </c>
      <c r="H1015" s="344">
        <f t="shared" si="95"/>
        <v>27595.694</v>
      </c>
      <c r="I1015" s="102">
        <f t="shared" si="91"/>
        <v>99.999999999999972</v>
      </c>
      <c r="J1015" s="125"/>
      <c r="K1015" s="125"/>
      <c r="L1015" s="125"/>
      <c r="M1015" s="125"/>
      <c r="N1015" s="125"/>
    </row>
    <row r="1016" spans="1:14" s="131" customFormat="1" ht="47.25" x14ac:dyDescent="0.25">
      <c r="A1016" s="215" t="s">
        <v>90</v>
      </c>
      <c r="B1016" s="218" t="s">
        <v>300</v>
      </c>
      <c r="C1016" s="118" t="s">
        <v>129</v>
      </c>
      <c r="D1016" s="217" t="s">
        <v>120</v>
      </c>
      <c r="E1016" s="118" t="s">
        <v>91</v>
      </c>
      <c r="F1016" s="300"/>
      <c r="G1016" s="344">
        <f>'Пр.4 Ведом23'!G1298</f>
        <v>27595.694000000007</v>
      </c>
      <c r="H1016" s="344">
        <f>'Пр.4 Ведом23'!H1298</f>
        <v>27595.694</v>
      </c>
      <c r="I1016" s="102">
        <f t="shared" si="91"/>
        <v>99.999999999999972</v>
      </c>
      <c r="J1016" s="125"/>
      <c r="K1016" s="125"/>
      <c r="L1016" s="125"/>
      <c r="M1016" s="125"/>
      <c r="N1016" s="125"/>
    </row>
    <row r="1017" spans="1:14" s="131" customFormat="1" ht="47.25" x14ac:dyDescent="0.25">
      <c r="A1017" s="26" t="s">
        <v>877</v>
      </c>
      <c r="B1017" s="218" t="s">
        <v>300</v>
      </c>
      <c r="C1017" s="118" t="s">
        <v>129</v>
      </c>
      <c r="D1017" s="217" t="s">
        <v>120</v>
      </c>
      <c r="E1017" s="118" t="s">
        <v>91</v>
      </c>
      <c r="F1017" s="300">
        <v>908</v>
      </c>
      <c r="G1017" s="344">
        <f>G1016</f>
        <v>27595.694000000007</v>
      </c>
      <c r="H1017" s="344">
        <f>H1016</f>
        <v>27595.694</v>
      </c>
      <c r="I1017" s="102">
        <f t="shared" si="91"/>
        <v>99.999999999999972</v>
      </c>
      <c r="J1017" s="125"/>
      <c r="K1017" s="125"/>
      <c r="L1017" s="125"/>
      <c r="M1017" s="125"/>
      <c r="N1017" s="125"/>
    </row>
    <row r="1018" spans="1:14" s="131" customFormat="1" ht="47.25" x14ac:dyDescent="0.25">
      <c r="A1018" s="116" t="s">
        <v>1047</v>
      </c>
      <c r="B1018" s="117" t="s">
        <v>723</v>
      </c>
      <c r="C1018" s="119" t="s">
        <v>129</v>
      </c>
      <c r="D1018" s="6" t="s">
        <v>120</v>
      </c>
      <c r="E1018" s="119"/>
      <c r="F1018" s="3"/>
      <c r="G1018" s="302">
        <f>G1019+G1023</f>
        <v>1451.1822400000001</v>
      </c>
      <c r="H1018" s="567">
        <f>H1019+H1023</f>
        <v>1410.2840000000001</v>
      </c>
      <c r="I1018" s="221">
        <f t="shared" si="91"/>
        <v>97.181729566921931</v>
      </c>
      <c r="J1018" s="125"/>
      <c r="K1018" s="125"/>
      <c r="L1018" s="125"/>
      <c r="M1018" s="125"/>
      <c r="N1018" s="125"/>
    </row>
    <row r="1019" spans="1:14" s="131" customFormat="1" ht="110.25" hidden="1" x14ac:dyDescent="0.25">
      <c r="A1019" s="215" t="s">
        <v>730</v>
      </c>
      <c r="B1019" s="218" t="s">
        <v>724</v>
      </c>
      <c r="C1019" s="118" t="s">
        <v>129</v>
      </c>
      <c r="D1019" s="217" t="s">
        <v>120</v>
      </c>
      <c r="E1019" s="118"/>
      <c r="F1019" s="300"/>
      <c r="G1019" s="344">
        <f>G1020</f>
        <v>5.7071318157464468E-15</v>
      </c>
      <c r="H1019" s="344">
        <f>H1020</f>
        <v>5.7071318157464468E-15</v>
      </c>
      <c r="I1019" s="102">
        <f t="shared" si="91"/>
        <v>100</v>
      </c>
      <c r="J1019" s="125"/>
      <c r="K1019" s="125"/>
      <c r="L1019" s="125"/>
      <c r="M1019" s="125"/>
      <c r="N1019" s="125"/>
    </row>
    <row r="1020" spans="1:14" s="131" customFormat="1" ht="31.5" hidden="1" x14ac:dyDescent="0.25">
      <c r="A1020" s="215" t="s">
        <v>88</v>
      </c>
      <c r="B1020" s="218" t="s">
        <v>724</v>
      </c>
      <c r="C1020" s="118" t="s">
        <v>129</v>
      </c>
      <c r="D1020" s="217" t="s">
        <v>120</v>
      </c>
      <c r="E1020" s="118" t="s">
        <v>89</v>
      </c>
      <c r="F1020" s="300"/>
      <c r="G1020" s="344">
        <f>G1021</f>
        <v>5.7071318157464468E-15</v>
      </c>
      <c r="H1020" s="344">
        <f>H1021</f>
        <v>5.7071318157464468E-15</v>
      </c>
      <c r="I1020" s="102">
        <f t="shared" si="91"/>
        <v>100</v>
      </c>
      <c r="J1020" s="125"/>
      <c r="K1020" s="125"/>
      <c r="L1020" s="125"/>
      <c r="M1020" s="125"/>
      <c r="N1020" s="125"/>
    </row>
    <row r="1021" spans="1:14" s="131" customFormat="1" ht="47.25" hidden="1" x14ac:dyDescent="0.25">
      <c r="A1021" s="215" t="s">
        <v>90</v>
      </c>
      <c r="B1021" s="218" t="s">
        <v>724</v>
      </c>
      <c r="C1021" s="118" t="s">
        <v>129</v>
      </c>
      <c r="D1021" s="217" t="s">
        <v>120</v>
      </c>
      <c r="E1021" s="118" t="s">
        <v>91</v>
      </c>
      <c r="F1021" s="300"/>
      <c r="G1021" s="344">
        <f>'Пр.4 Ведом23'!G1302</f>
        <v>5.7071318157464468E-15</v>
      </c>
      <c r="H1021" s="344">
        <f>'Пр.4 Ведом23'!H1302</f>
        <v>5.7071318157464468E-15</v>
      </c>
      <c r="I1021" s="102">
        <f t="shared" si="91"/>
        <v>100</v>
      </c>
      <c r="J1021" s="125"/>
      <c r="K1021" s="125"/>
      <c r="L1021" s="125"/>
      <c r="M1021" s="125"/>
      <c r="N1021" s="125"/>
    </row>
    <row r="1022" spans="1:14" s="131" customFormat="1" ht="47.25" hidden="1" x14ac:dyDescent="0.25">
      <c r="A1022" s="26" t="s">
        <v>877</v>
      </c>
      <c r="B1022" s="218" t="s">
        <v>724</v>
      </c>
      <c r="C1022" s="118" t="s">
        <v>129</v>
      </c>
      <c r="D1022" s="217" t="s">
        <v>120</v>
      </c>
      <c r="E1022" s="118" t="s">
        <v>91</v>
      </c>
      <c r="F1022" s="300">
        <v>908</v>
      </c>
      <c r="G1022" s="344">
        <f>G1021</f>
        <v>5.7071318157464468E-15</v>
      </c>
      <c r="H1022" s="344">
        <f>H1021</f>
        <v>5.7071318157464468E-15</v>
      </c>
      <c r="I1022" s="102">
        <f t="shared" si="91"/>
        <v>100</v>
      </c>
      <c r="J1022" s="125"/>
      <c r="K1022" s="125"/>
      <c r="L1022" s="125"/>
      <c r="M1022" s="125"/>
      <c r="N1022" s="125"/>
    </row>
    <row r="1023" spans="1:14" s="131" customFormat="1" ht="15.75" x14ac:dyDescent="0.25">
      <c r="A1023" s="215" t="s">
        <v>813</v>
      </c>
      <c r="B1023" s="218" t="s">
        <v>1056</v>
      </c>
      <c r="C1023" s="118" t="s">
        <v>129</v>
      </c>
      <c r="D1023" s="217" t="s">
        <v>120</v>
      </c>
      <c r="E1023" s="118"/>
      <c r="F1023" s="300"/>
      <c r="G1023" s="344">
        <f>G1024</f>
        <v>1451.1822400000001</v>
      </c>
      <c r="H1023" s="344">
        <f>H1024</f>
        <v>1410.2840000000001</v>
      </c>
      <c r="I1023" s="102">
        <f t="shared" si="91"/>
        <v>97.181729566921931</v>
      </c>
      <c r="J1023" s="125"/>
      <c r="K1023" s="125"/>
      <c r="L1023" s="125"/>
      <c r="M1023" s="125"/>
      <c r="N1023" s="125"/>
    </row>
    <row r="1024" spans="1:14" s="131" customFormat="1" ht="31.5" x14ac:dyDescent="0.25">
      <c r="A1024" s="215" t="s">
        <v>88</v>
      </c>
      <c r="B1024" s="218" t="s">
        <v>1056</v>
      </c>
      <c r="C1024" s="118" t="s">
        <v>129</v>
      </c>
      <c r="D1024" s="217" t="s">
        <v>120</v>
      </c>
      <c r="E1024" s="118" t="s">
        <v>89</v>
      </c>
      <c r="F1024" s="300"/>
      <c r="G1024" s="344">
        <f>G1025</f>
        <v>1451.1822400000001</v>
      </c>
      <c r="H1024" s="344">
        <f>H1025</f>
        <v>1410.2840000000001</v>
      </c>
      <c r="I1024" s="102">
        <f t="shared" si="91"/>
        <v>97.181729566921931</v>
      </c>
      <c r="J1024" s="125"/>
      <c r="K1024" s="125"/>
      <c r="L1024" s="125"/>
      <c r="M1024" s="125"/>
      <c r="N1024" s="125"/>
    </row>
    <row r="1025" spans="1:14" s="131" customFormat="1" ht="47.25" x14ac:dyDescent="0.25">
      <c r="A1025" s="215" t="s">
        <v>90</v>
      </c>
      <c r="B1025" s="218" t="s">
        <v>1056</v>
      </c>
      <c r="C1025" s="118" t="s">
        <v>129</v>
      </c>
      <c r="D1025" s="217" t="s">
        <v>120</v>
      </c>
      <c r="E1025" s="118" t="s">
        <v>91</v>
      </c>
      <c r="F1025" s="300"/>
      <c r="G1025" s="344">
        <f>'Пр.4 Ведом23'!G1305</f>
        <v>1451.1822400000001</v>
      </c>
      <c r="H1025" s="344">
        <f>'Пр.4 Ведом23'!H1305</f>
        <v>1410.2840000000001</v>
      </c>
      <c r="I1025" s="102">
        <f t="shared" si="91"/>
        <v>97.181729566921931</v>
      </c>
      <c r="J1025" s="125"/>
      <c r="K1025" s="125"/>
      <c r="L1025" s="125"/>
      <c r="M1025" s="125"/>
      <c r="N1025" s="125"/>
    </row>
    <row r="1026" spans="1:14" s="131" customFormat="1" ht="47.25" x14ac:dyDescent="0.25">
      <c r="A1026" s="26" t="s">
        <v>877</v>
      </c>
      <c r="B1026" s="218" t="s">
        <v>1056</v>
      </c>
      <c r="C1026" s="118" t="s">
        <v>129</v>
      </c>
      <c r="D1026" s="217" t="s">
        <v>120</v>
      </c>
      <c r="E1026" s="118" t="s">
        <v>91</v>
      </c>
      <c r="F1026" s="300">
        <v>908</v>
      </c>
      <c r="G1026" s="344">
        <f>G1025</f>
        <v>1451.1822400000001</v>
      </c>
      <c r="H1026" s="344">
        <f>H1025</f>
        <v>1410.2840000000001</v>
      </c>
      <c r="I1026" s="102">
        <f t="shared" si="91"/>
        <v>97.181729566921931</v>
      </c>
      <c r="J1026" s="125"/>
      <c r="K1026" s="125"/>
      <c r="L1026" s="125"/>
      <c r="M1026" s="125"/>
      <c r="N1026" s="125"/>
    </row>
    <row r="1027" spans="1:14" s="131" customFormat="1" ht="78.75" x14ac:dyDescent="0.25">
      <c r="A1027" s="130" t="s">
        <v>899</v>
      </c>
      <c r="B1027" s="74" t="s">
        <v>291</v>
      </c>
      <c r="C1027" s="7"/>
      <c r="D1027" s="217"/>
      <c r="E1027" s="218"/>
      <c r="F1027" s="300"/>
      <c r="G1027" s="302">
        <f t="shared" ref="G1027:H1030" si="96">G1028</f>
        <v>45</v>
      </c>
      <c r="H1027" s="567">
        <f t="shared" si="96"/>
        <v>45</v>
      </c>
      <c r="I1027" s="221">
        <f t="shared" si="91"/>
        <v>100</v>
      </c>
      <c r="J1027" s="125"/>
      <c r="K1027" s="125"/>
      <c r="L1027" s="125"/>
      <c r="M1027" s="125"/>
      <c r="N1027" s="125"/>
    </row>
    <row r="1028" spans="1:14" s="131" customFormat="1" ht="47.25" x14ac:dyDescent="0.25">
      <c r="A1028" s="81" t="s">
        <v>317</v>
      </c>
      <c r="B1028" s="74" t="s">
        <v>491</v>
      </c>
      <c r="C1028" s="7"/>
      <c r="D1028" s="217"/>
      <c r="E1028" s="218"/>
      <c r="F1028" s="300"/>
      <c r="G1028" s="302">
        <f t="shared" si="96"/>
        <v>45</v>
      </c>
      <c r="H1028" s="567">
        <f t="shared" si="96"/>
        <v>45</v>
      </c>
      <c r="I1028" s="221">
        <f t="shared" si="91"/>
        <v>100</v>
      </c>
      <c r="J1028" s="125"/>
      <c r="K1028" s="125"/>
      <c r="L1028" s="125"/>
      <c r="M1028" s="125"/>
      <c r="N1028" s="125"/>
    </row>
    <row r="1029" spans="1:14" s="131" customFormat="1" ht="15.75" x14ac:dyDescent="0.25">
      <c r="A1029" s="19" t="s">
        <v>80</v>
      </c>
      <c r="B1029" s="299" t="s">
        <v>491</v>
      </c>
      <c r="C1029" s="8" t="s">
        <v>81</v>
      </c>
      <c r="D1029" s="217"/>
      <c r="E1029" s="218"/>
      <c r="F1029" s="300"/>
      <c r="G1029" s="344">
        <f t="shared" si="96"/>
        <v>45</v>
      </c>
      <c r="H1029" s="344">
        <f t="shared" si="96"/>
        <v>45</v>
      </c>
      <c r="I1029" s="102">
        <f t="shared" si="91"/>
        <v>100</v>
      </c>
      <c r="J1029" s="125"/>
      <c r="K1029" s="125"/>
      <c r="L1029" s="125"/>
      <c r="M1029" s="125"/>
      <c r="N1029" s="125"/>
    </row>
    <row r="1030" spans="1:14" s="131" customFormat="1" ht="15.75" x14ac:dyDescent="0.25">
      <c r="A1030" s="19" t="s">
        <v>95</v>
      </c>
      <c r="B1030" s="299" t="s">
        <v>491</v>
      </c>
      <c r="C1030" s="8" t="s">
        <v>81</v>
      </c>
      <c r="D1030" s="217" t="s">
        <v>96</v>
      </c>
      <c r="E1030" s="218"/>
      <c r="F1030" s="300"/>
      <c r="G1030" s="344">
        <f t="shared" si="96"/>
        <v>45</v>
      </c>
      <c r="H1030" s="344">
        <f t="shared" si="96"/>
        <v>45</v>
      </c>
      <c r="I1030" s="102">
        <f t="shared" si="91"/>
        <v>100</v>
      </c>
      <c r="J1030" s="125"/>
      <c r="K1030" s="125"/>
      <c r="L1030" s="125"/>
      <c r="M1030" s="125"/>
      <c r="N1030" s="125"/>
    </row>
    <row r="1031" spans="1:14" s="131" customFormat="1" ht="31.5" x14ac:dyDescent="0.25">
      <c r="A1031" s="66" t="s">
        <v>108</v>
      </c>
      <c r="B1031" s="299" t="s">
        <v>318</v>
      </c>
      <c r="C1031" s="8" t="s">
        <v>81</v>
      </c>
      <c r="D1031" s="217" t="s">
        <v>96</v>
      </c>
      <c r="E1031" s="218"/>
      <c r="F1031" s="300"/>
      <c r="G1031" s="344">
        <f>G1032+G1035+G1038+G1041</f>
        <v>45</v>
      </c>
      <c r="H1031" s="344">
        <f>H1032+H1035+H1038+H1041</f>
        <v>45</v>
      </c>
      <c r="I1031" s="102">
        <f t="shared" si="91"/>
        <v>100</v>
      </c>
      <c r="J1031" s="125"/>
      <c r="K1031" s="125"/>
      <c r="L1031" s="125"/>
      <c r="M1031" s="125"/>
      <c r="N1031" s="125"/>
    </row>
    <row r="1032" spans="1:14" s="131" customFormat="1" ht="31.5" x14ac:dyDescent="0.25">
      <c r="A1032" s="215" t="s">
        <v>88</v>
      </c>
      <c r="B1032" s="299" t="s">
        <v>318</v>
      </c>
      <c r="C1032" s="8" t="s">
        <v>81</v>
      </c>
      <c r="D1032" s="217" t="s">
        <v>96</v>
      </c>
      <c r="E1032" s="8" t="s">
        <v>89</v>
      </c>
      <c r="F1032" s="300"/>
      <c r="G1032" s="344">
        <f>G1033</f>
        <v>5</v>
      </c>
      <c r="H1032" s="344">
        <f>H1033</f>
        <v>5</v>
      </c>
      <c r="I1032" s="102">
        <f t="shared" si="91"/>
        <v>100</v>
      </c>
      <c r="J1032" s="125"/>
      <c r="K1032" s="125"/>
      <c r="L1032" s="125"/>
      <c r="M1032" s="125"/>
      <c r="N1032" s="125"/>
    </row>
    <row r="1033" spans="1:14" s="131" customFormat="1" ht="47.25" x14ac:dyDescent="0.25">
      <c r="A1033" s="215" t="s">
        <v>90</v>
      </c>
      <c r="B1033" s="299" t="s">
        <v>318</v>
      </c>
      <c r="C1033" s="8" t="s">
        <v>81</v>
      </c>
      <c r="D1033" s="217" t="s">
        <v>96</v>
      </c>
      <c r="E1033" s="8" t="s">
        <v>91</v>
      </c>
      <c r="F1033" s="300"/>
      <c r="G1033" s="344">
        <f>'Пр.4 Ведом23'!G178</f>
        <v>5</v>
      </c>
      <c r="H1033" s="344">
        <f>'Пр.4 Ведом23'!H178</f>
        <v>5</v>
      </c>
      <c r="I1033" s="102">
        <f t="shared" si="91"/>
        <v>100</v>
      </c>
      <c r="J1033" s="125"/>
      <c r="K1033" s="125"/>
      <c r="L1033" s="125"/>
      <c r="M1033" s="125"/>
      <c r="N1033" s="125"/>
    </row>
    <row r="1034" spans="1:14" s="131" customFormat="1" ht="31.5" x14ac:dyDescent="0.25">
      <c r="A1034" s="19" t="s">
        <v>880</v>
      </c>
      <c r="B1034" s="299" t="s">
        <v>318</v>
      </c>
      <c r="C1034" s="8" t="s">
        <v>81</v>
      </c>
      <c r="D1034" s="217" t="s">
        <v>96</v>
      </c>
      <c r="E1034" s="8" t="s">
        <v>91</v>
      </c>
      <c r="F1034" s="300">
        <v>902</v>
      </c>
      <c r="G1034" s="344">
        <f>G1033</f>
        <v>5</v>
      </c>
      <c r="H1034" s="344">
        <f>H1033</f>
        <v>5</v>
      </c>
      <c r="I1034" s="102">
        <f t="shared" si="91"/>
        <v>100</v>
      </c>
      <c r="J1034" s="125"/>
      <c r="K1034" s="125"/>
      <c r="L1034" s="125"/>
      <c r="M1034" s="125"/>
      <c r="N1034" s="125"/>
    </row>
    <row r="1035" spans="1:14" s="131" customFormat="1" ht="31.5" hidden="1" x14ac:dyDescent="0.25">
      <c r="A1035" s="215" t="s">
        <v>88</v>
      </c>
      <c r="B1035" s="299" t="s">
        <v>318</v>
      </c>
      <c r="C1035" s="8" t="s">
        <v>81</v>
      </c>
      <c r="D1035" s="217" t="s">
        <v>96</v>
      </c>
      <c r="E1035" s="8" t="s">
        <v>89</v>
      </c>
      <c r="F1035" s="300"/>
      <c r="G1035" s="344">
        <f>G1036</f>
        <v>0</v>
      </c>
      <c r="H1035" s="344">
        <f>H1036</f>
        <v>0</v>
      </c>
      <c r="I1035" s="102" t="e">
        <f t="shared" si="91"/>
        <v>#DIV/0!</v>
      </c>
      <c r="J1035" s="125"/>
      <c r="K1035" s="125"/>
      <c r="L1035" s="125"/>
      <c r="M1035" s="125"/>
      <c r="N1035" s="125"/>
    </row>
    <row r="1036" spans="1:14" s="131" customFormat="1" ht="47.25" hidden="1" x14ac:dyDescent="0.25">
      <c r="A1036" s="215" t="s">
        <v>90</v>
      </c>
      <c r="B1036" s="299" t="s">
        <v>318</v>
      </c>
      <c r="C1036" s="8" t="s">
        <v>81</v>
      </c>
      <c r="D1036" s="217" t="s">
        <v>96</v>
      </c>
      <c r="E1036" s="8" t="s">
        <v>91</v>
      </c>
      <c r="F1036" s="300"/>
      <c r="G1036" s="344">
        <f>'Пр.4 Ведом23'!G340</f>
        <v>0</v>
      </c>
      <c r="H1036" s="344">
        <f>'Пр.4 Ведом23'!H340</f>
        <v>0</v>
      </c>
      <c r="I1036" s="102" t="e">
        <f t="shared" si="91"/>
        <v>#DIV/0!</v>
      </c>
      <c r="J1036" s="125"/>
      <c r="K1036" s="125"/>
      <c r="L1036" s="125"/>
      <c r="M1036" s="125"/>
      <c r="N1036" s="125"/>
    </row>
    <row r="1037" spans="1:14" s="131" customFormat="1" ht="47.25" hidden="1" x14ac:dyDescent="0.25">
      <c r="A1037" s="215" t="s">
        <v>876</v>
      </c>
      <c r="B1037" s="299" t="s">
        <v>318</v>
      </c>
      <c r="C1037" s="8" t="s">
        <v>81</v>
      </c>
      <c r="D1037" s="217" t="s">
        <v>96</v>
      </c>
      <c r="E1037" s="8" t="s">
        <v>91</v>
      </c>
      <c r="F1037" s="300">
        <v>903</v>
      </c>
      <c r="G1037" s="344">
        <f>G1036</f>
        <v>0</v>
      </c>
      <c r="H1037" s="344">
        <f>H1036</f>
        <v>0</v>
      </c>
      <c r="I1037" s="102" t="e">
        <f t="shared" si="91"/>
        <v>#DIV/0!</v>
      </c>
      <c r="J1037" s="125"/>
      <c r="K1037" s="125"/>
      <c r="L1037" s="125"/>
      <c r="M1037" s="125"/>
      <c r="N1037" s="125"/>
    </row>
    <row r="1038" spans="1:14" s="131" customFormat="1" ht="31.5" hidden="1" x14ac:dyDescent="0.25">
      <c r="A1038" s="215" t="s">
        <v>88</v>
      </c>
      <c r="B1038" s="299" t="s">
        <v>318</v>
      </c>
      <c r="C1038" s="8" t="s">
        <v>81</v>
      </c>
      <c r="D1038" s="217" t="s">
        <v>96</v>
      </c>
      <c r="E1038" s="8" t="s">
        <v>89</v>
      </c>
      <c r="F1038" s="300"/>
      <c r="G1038" s="344">
        <f>G1039</f>
        <v>0</v>
      </c>
      <c r="H1038" s="344">
        <f>H1039</f>
        <v>0</v>
      </c>
      <c r="I1038" s="102" t="e">
        <f t="shared" si="91"/>
        <v>#DIV/0!</v>
      </c>
      <c r="J1038" s="125"/>
      <c r="K1038" s="125"/>
      <c r="L1038" s="125"/>
      <c r="M1038" s="125"/>
      <c r="N1038" s="125"/>
    </row>
    <row r="1039" spans="1:14" s="131" customFormat="1" ht="47.25" hidden="1" x14ac:dyDescent="0.25">
      <c r="A1039" s="215" t="s">
        <v>90</v>
      </c>
      <c r="B1039" s="299" t="s">
        <v>318</v>
      </c>
      <c r="C1039" s="8" t="s">
        <v>81</v>
      </c>
      <c r="D1039" s="217" t="s">
        <v>96</v>
      </c>
      <c r="E1039" s="8" t="s">
        <v>91</v>
      </c>
      <c r="F1039" s="300"/>
      <c r="G1039" s="344">
        <f>'Пр.4 Ведом23'!G721</f>
        <v>0</v>
      </c>
      <c r="H1039" s="344">
        <f>'Пр.4 Ведом23'!H721</f>
        <v>0</v>
      </c>
      <c r="I1039" s="102" t="e">
        <f t="shared" si="91"/>
        <v>#DIV/0!</v>
      </c>
      <c r="J1039" s="125"/>
      <c r="K1039" s="125"/>
      <c r="L1039" s="125"/>
      <c r="M1039" s="125"/>
      <c r="N1039" s="125"/>
    </row>
    <row r="1040" spans="1:14" s="59" customFormat="1" ht="31.5" hidden="1" x14ac:dyDescent="0.25">
      <c r="A1040" s="68" t="s">
        <v>878</v>
      </c>
      <c r="B1040" s="299" t="s">
        <v>318</v>
      </c>
      <c r="C1040" s="8" t="s">
        <v>81</v>
      </c>
      <c r="D1040" s="217" t="s">
        <v>96</v>
      </c>
      <c r="E1040" s="8" t="s">
        <v>91</v>
      </c>
      <c r="F1040" s="300">
        <v>906</v>
      </c>
      <c r="G1040" s="344">
        <f>G1039</f>
        <v>0</v>
      </c>
      <c r="H1040" s="344">
        <f>H1039</f>
        <v>0</v>
      </c>
      <c r="I1040" s="102" t="e">
        <f t="shared" si="91"/>
        <v>#DIV/0!</v>
      </c>
      <c r="J1040" s="125"/>
      <c r="K1040" s="125"/>
      <c r="L1040" s="125"/>
      <c r="M1040" s="125"/>
      <c r="N1040" s="125"/>
    </row>
    <row r="1041" spans="1:14" s="75" customFormat="1" ht="31.5" x14ac:dyDescent="0.25">
      <c r="A1041" s="215" t="s">
        <v>88</v>
      </c>
      <c r="B1041" s="299" t="s">
        <v>318</v>
      </c>
      <c r="C1041" s="8" t="s">
        <v>81</v>
      </c>
      <c r="D1041" s="217" t="s">
        <v>96</v>
      </c>
      <c r="E1041" s="8" t="s">
        <v>89</v>
      </c>
      <c r="F1041" s="300"/>
      <c r="G1041" s="344">
        <f>G1042</f>
        <v>40</v>
      </c>
      <c r="H1041" s="344">
        <f>H1042</f>
        <v>40</v>
      </c>
      <c r="I1041" s="102">
        <f t="shared" ref="I1041:I1101" si="97">H1041/G1041*100</f>
        <v>100</v>
      </c>
      <c r="J1041" s="125"/>
      <c r="K1041" s="125"/>
      <c r="L1041" s="125"/>
      <c r="M1041" s="125"/>
      <c r="N1041" s="125"/>
    </row>
    <row r="1042" spans="1:14" s="75" customFormat="1" ht="47.25" x14ac:dyDescent="0.25">
      <c r="A1042" s="215" t="s">
        <v>90</v>
      </c>
      <c r="B1042" s="299" t="s">
        <v>318</v>
      </c>
      <c r="C1042" s="8" t="s">
        <v>81</v>
      </c>
      <c r="D1042" s="217" t="s">
        <v>96</v>
      </c>
      <c r="E1042" s="8" t="s">
        <v>91</v>
      </c>
      <c r="F1042" s="300"/>
      <c r="G1042" s="344">
        <f>'Пр.4 Ведом23'!G953</f>
        <v>40</v>
      </c>
      <c r="H1042" s="344">
        <f>'Пр.4 Ведом23'!H953</f>
        <v>40</v>
      </c>
      <c r="I1042" s="102">
        <f t="shared" si="97"/>
        <v>100</v>
      </c>
      <c r="J1042" s="125"/>
      <c r="K1042" s="125"/>
      <c r="L1042" s="125"/>
      <c r="M1042" s="125"/>
      <c r="N1042" s="125"/>
    </row>
    <row r="1043" spans="1:14" s="75" customFormat="1" ht="31.5" x14ac:dyDescent="0.25">
      <c r="A1043" s="68" t="s">
        <v>889</v>
      </c>
      <c r="B1043" s="299" t="s">
        <v>318</v>
      </c>
      <c r="C1043" s="8" t="s">
        <v>81</v>
      </c>
      <c r="D1043" s="217" t="s">
        <v>96</v>
      </c>
      <c r="E1043" s="8" t="s">
        <v>91</v>
      </c>
      <c r="F1043" s="300">
        <v>907</v>
      </c>
      <c r="G1043" s="344">
        <f>G1042</f>
        <v>40</v>
      </c>
      <c r="H1043" s="344">
        <f>H1042</f>
        <v>40</v>
      </c>
      <c r="I1043" s="102">
        <f t="shared" si="97"/>
        <v>100</v>
      </c>
      <c r="J1043" s="125"/>
      <c r="K1043" s="125"/>
      <c r="L1043" s="125"/>
      <c r="M1043" s="125"/>
      <c r="N1043" s="125"/>
    </row>
    <row r="1044" spans="1:14" s="75" customFormat="1" ht="78.75" x14ac:dyDescent="0.25">
      <c r="A1044" s="130" t="s">
        <v>900</v>
      </c>
      <c r="B1044" s="74" t="s">
        <v>788</v>
      </c>
      <c r="C1044" s="218"/>
      <c r="D1044" s="218"/>
      <c r="E1044" s="217"/>
      <c r="F1044" s="300"/>
      <c r="G1044" s="302">
        <f t="shared" ref="G1044:H1052" si="98">G1045</f>
        <v>29.84</v>
      </c>
      <c r="H1044" s="567">
        <f t="shared" si="98"/>
        <v>29.84</v>
      </c>
      <c r="I1044" s="221">
        <f t="shared" si="97"/>
        <v>100</v>
      </c>
      <c r="J1044" s="125"/>
      <c r="K1044" s="125"/>
      <c r="L1044" s="125"/>
      <c r="M1044" s="125"/>
      <c r="N1044" s="125"/>
    </row>
    <row r="1045" spans="1:14" s="131" customFormat="1" ht="47.25" x14ac:dyDescent="0.25">
      <c r="A1045" s="130" t="s">
        <v>792</v>
      </c>
      <c r="B1045" s="74" t="s">
        <v>789</v>
      </c>
      <c r="C1045" s="218"/>
      <c r="D1045" s="218"/>
      <c r="E1045" s="217"/>
      <c r="F1045" s="300"/>
      <c r="G1045" s="302">
        <f t="shared" si="98"/>
        <v>29.84</v>
      </c>
      <c r="H1045" s="567">
        <f t="shared" si="98"/>
        <v>29.84</v>
      </c>
      <c r="I1045" s="221">
        <f t="shared" si="97"/>
        <v>100</v>
      </c>
      <c r="J1045" s="125"/>
      <c r="K1045" s="125"/>
      <c r="L1045" s="125"/>
      <c r="M1045" s="125"/>
      <c r="N1045" s="125"/>
    </row>
    <row r="1046" spans="1:14" s="131" customFormat="1" ht="15.75" x14ac:dyDescent="0.25">
      <c r="A1046" s="19" t="s">
        <v>80</v>
      </c>
      <c r="B1046" s="299" t="s">
        <v>789</v>
      </c>
      <c r="C1046" s="218" t="s">
        <v>81</v>
      </c>
      <c r="D1046" s="218"/>
      <c r="E1046" s="217"/>
      <c r="F1046" s="300"/>
      <c r="G1046" s="344">
        <f t="shared" si="98"/>
        <v>29.84</v>
      </c>
      <c r="H1046" s="344">
        <f t="shared" si="98"/>
        <v>29.84</v>
      </c>
      <c r="I1046" s="102">
        <f t="shared" si="97"/>
        <v>100</v>
      </c>
      <c r="J1046" s="125"/>
      <c r="K1046" s="125"/>
      <c r="L1046" s="125"/>
      <c r="M1046" s="125"/>
      <c r="N1046" s="125"/>
    </row>
    <row r="1047" spans="1:14" s="131" customFormat="1" ht="15.75" x14ac:dyDescent="0.25">
      <c r="A1047" s="19" t="s">
        <v>95</v>
      </c>
      <c r="B1047" s="299" t="s">
        <v>789</v>
      </c>
      <c r="C1047" s="218" t="s">
        <v>81</v>
      </c>
      <c r="D1047" s="218" t="s">
        <v>96</v>
      </c>
      <c r="E1047" s="217"/>
      <c r="F1047" s="300"/>
      <c r="G1047" s="344">
        <f t="shared" si="98"/>
        <v>29.84</v>
      </c>
      <c r="H1047" s="344">
        <f t="shared" si="98"/>
        <v>29.84</v>
      </c>
      <c r="I1047" s="102">
        <f t="shared" si="97"/>
        <v>100</v>
      </c>
      <c r="J1047" s="125"/>
      <c r="K1047" s="125"/>
      <c r="L1047" s="125"/>
      <c r="M1047" s="125"/>
      <c r="N1047" s="125"/>
    </row>
    <row r="1048" spans="1:14" s="131" customFormat="1" ht="31.5" x14ac:dyDescent="0.25">
      <c r="A1048" s="215" t="s">
        <v>793</v>
      </c>
      <c r="B1048" s="299" t="s">
        <v>790</v>
      </c>
      <c r="C1048" s="218" t="s">
        <v>81</v>
      </c>
      <c r="D1048" s="218" t="s">
        <v>96</v>
      </c>
      <c r="E1048" s="217"/>
      <c r="F1048" s="300"/>
      <c r="G1048" s="344">
        <f>G1052+G1049</f>
        <v>29.84</v>
      </c>
      <c r="H1048" s="344">
        <f>H1052+H1049</f>
        <v>29.84</v>
      </c>
      <c r="I1048" s="102">
        <f t="shared" si="97"/>
        <v>100</v>
      </c>
      <c r="J1048" s="125"/>
      <c r="K1048" s="125"/>
      <c r="L1048" s="125"/>
      <c r="M1048" s="125"/>
      <c r="N1048" s="125"/>
    </row>
    <row r="1049" spans="1:14" s="332" customFormat="1" ht="42" customHeight="1" x14ac:dyDescent="0.25">
      <c r="A1049" s="335" t="s">
        <v>88</v>
      </c>
      <c r="B1049" s="436" t="s">
        <v>790</v>
      </c>
      <c r="C1049" s="334" t="s">
        <v>81</v>
      </c>
      <c r="D1049" s="334" t="s">
        <v>96</v>
      </c>
      <c r="E1049" s="217" t="s">
        <v>89</v>
      </c>
      <c r="F1049" s="437"/>
      <c r="G1049" s="344">
        <f>G1050</f>
        <v>11.84</v>
      </c>
      <c r="H1049" s="344">
        <f>H1050</f>
        <v>11.84</v>
      </c>
      <c r="I1049" s="102">
        <f t="shared" si="97"/>
        <v>100</v>
      </c>
      <c r="J1049" s="125"/>
      <c r="K1049" s="125"/>
      <c r="L1049" s="125"/>
      <c r="M1049" s="125"/>
      <c r="N1049" s="125"/>
    </row>
    <row r="1050" spans="1:14" s="332" customFormat="1" ht="38.25" customHeight="1" x14ac:dyDescent="0.25">
      <c r="A1050" s="335" t="s">
        <v>90</v>
      </c>
      <c r="B1050" s="436" t="s">
        <v>790</v>
      </c>
      <c r="C1050" s="334" t="s">
        <v>81</v>
      </c>
      <c r="D1050" s="334" t="s">
        <v>96</v>
      </c>
      <c r="E1050" s="217" t="s">
        <v>91</v>
      </c>
      <c r="F1050" s="437"/>
      <c r="G1050" s="344">
        <f>'Пр.4 Ведом23'!G183</f>
        <v>11.84</v>
      </c>
      <c r="H1050" s="344">
        <f>'Пр.4 Ведом23'!H183</f>
        <v>11.84</v>
      </c>
      <c r="I1050" s="102">
        <f t="shared" si="97"/>
        <v>100</v>
      </c>
      <c r="J1050" s="125"/>
      <c r="K1050" s="125"/>
      <c r="L1050" s="125"/>
      <c r="M1050" s="125"/>
      <c r="N1050" s="125"/>
    </row>
    <row r="1051" spans="1:14" s="332" customFormat="1" ht="37.5" customHeight="1" x14ac:dyDescent="0.25">
      <c r="A1051" s="335" t="s">
        <v>880</v>
      </c>
      <c r="B1051" s="436" t="s">
        <v>790</v>
      </c>
      <c r="C1051" s="334" t="s">
        <v>81</v>
      </c>
      <c r="D1051" s="334" t="s">
        <v>96</v>
      </c>
      <c r="E1051" s="217" t="s">
        <v>91</v>
      </c>
      <c r="F1051" s="437">
        <v>902</v>
      </c>
      <c r="G1051" s="344">
        <f>G1050</f>
        <v>11.84</v>
      </c>
      <c r="H1051" s="344">
        <f>H1050</f>
        <v>11.84</v>
      </c>
      <c r="I1051" s="102">
        <f t="shared" si="97"/>
        <v>100</v>
      </c>
      <c r="J1051" s="125"/>
      <c r="K1051" s="125"/>
      <c r="L1051" s="125"/>
      <c r="M1051" s="125"/>
      <c r="N1051" s="125"/>
    </row>
    <row r="1052" spans="1:14" s="131" customFormat="1" ht="31.5" x14ac:dyDescent="0.25">
      <c r="A1052" s="176" t="s">
        <v>137</v>
      </c>
      <c r="B1052" s="299" t="s">
        <v>790</v>
      </c>
      <c r="C1052" s="218" t="s">
        <v>81</v>
      </c>
      <c r="D1052" s="218" t="s">
        <v>96</v>
      </c>
      <c r="E1052" s="8" t="s">
        <v>138</v>
      </c>
      <c r="F1052" s="300"/>
      <c r="G1052" s="344">
        <f t="shared" si="98"/>
        <v>18</v>
      </c>
      <c r="H1052" s="344">
        <f t="shared" si="98"/>
        <v>18</v>
      </c>
      <c r="I1052" s="102">
        <f t="shared" si="97"/>
        <v>100</v>
      </c>
      <c r="J1052" s="125"/>
      <c r="K1052" s="125"/>
      <c r="L1052" s="125"/>
      <c r="M1052" s="125"/>
      <c r="N1052" s="125"/>
    </row>
    <row r="1053" spans="1:14" s="1" customFormat="1" ht="15.75" x14ac:dyDescent="0.25">
      <c r="A1053" s="215" t="s">
        <v>794</v>
      </c>
      <c r="B1053" s="299" t="s">
        <v>790</v>
      </c>
      <c r="C1053" s="218" t="s">
        <v>81</v>
      </c>
      <c r="D1053" s="218" t="s">
        <v>96</v>
      </c>
      <c r="E1053" s="8" t="s">
        <v>791</v>
      </c>
      <c r="F1053" s="228"/>
      <c r="G1053" s="344">
        <f>'Пр.4 Ведом23'!G185</f>
        <v>18</v>
      </c>
      <c r="H1053" s="344">
        <f>'Пр.4 Ведом23'!H185</f>
        <v>18</v>
      </c>
      <c r="I1053" s="102">
        <f t="shared" si="97"/>
        <v>100</v>
      </c>
      <c r="J1053" s="231"/>
      <c r="K1053" s="231"/>
      <c r="L1053" s="231"/>
      <c r="M1053" s="231"/>
      <c r="N1053" s="231"/>
    </row>
    <row r="1054" spans="1:14" s="76" customFormat="1" ht="31.5" x14ac:dyDescent="0.25">
      <c r="A1054" s="19" t="s">
        <v>880</v>
      </c>
      <c r="B1054" s="299" t="s">
        <v>790</v>
      </c>
      <c r="C1054" s="218" t="s">
        <v>81</v>
      </c>
      <c r="D1054" s="218" t="s">
        <v>96</v>
      </c>
      <c r="E1054" s="8" t="s">
        <v>791</v>
      </c>
      <c r="F1054" s="300">
        <v>902</v>
      </c>
      <c r="G1054" s="344">
        <f>G1053</f>
        <v>18</v>
      </c>
      <c r="H1054" s="344">
        <f>H1053</f>
        <v>18</v>
      </c>
      <c r="I1054" s="102">
        <f t="shared" si="97"/>
        <v>100</v>
      </c>
      <c r="J1054" s="231"/>
      <c r="K1054" s="231"/>
      <c r="L1054" s="231"/>
      <c r="M1054" s="231"/>
      <c r="N1054" s="231"/>
    </row>
    <row r="1055" spans="1:14" s="132" customFormat="1" ht="63" x14ac:dyDescent="0.25">
      <c r="A1055" s="130" t="s">
        <v>901</v>
      </c>
      <c r="B1055" s="74" t="s">
        <v>292</v>
      </c>
      <c r="C1055" s="7"/>
      <c r="D1055" s="217"/>
      <c r="E1055" s="300"/>
      <c r="F1055" s="300"/>
      <c r="G1055" s="302">
        <f t="shared" ref="G1055:H1060" si="99">G1056</f>
        <v>95</v>
      </c>
      <c r="H1055" s="567">
        <f t="shared" si="99"/>
        <v>95</v>
      </c>
      <c r="I1055" s="221">
        <f t="shared" si="97"/>
        <v>100</v>
      </c>
      <c r="J1055" s="231"/>
      <c r="K1055" s="231"/>
      <c r="L1055" s="231"/>
      <c r="M1055" s="231"/>
      <c r="N1055" s="231"/>
    </row>
    <row r="1056" spans="1:14" s="132" customFormat="1" ht="31.5" x14ac:dyDescent="0.25">
      <c r="A1056" s="30" t="s">
        <v>319</v>
      </c>
      <c r="B1056" s="74" t="s">
        <v>327</v>
      </c>
      <c r="C1056" s="7"/>
      <c r="D1056" s="217"/>
      <c r="E1056" s="300"/>
      <c r="F1056" s="300"/>
      <c r="G1056" s="302">
        <f>G1057+G1063</f>
        <v>95</v>
      </c>
      <c r="H1056" s="567">
        <f>H1057+H1063</f>
        <v>95</v>
      </c>
      <c r="I1056" s="221">
        <f t="shared" si="97"/>
        <v>100</v>
      </c>
      <c r="J1056" s="231"/>
      <c r="K1056" s="231"/>
      <c r="L1056" s="231"/>
      <c r="M1056" s="231"/>
      <c r="N1056" s="231"/>
    </row>
    <row r="1057" spans="1:14" s="214" customFormat="1" ht="15.75" x14ac:dyDescent="0.25">
      <c r="A1057" s="19" t="s">
        <v>80</v>
      </c>
      <c r="B1057" s="299" t="s">
        <v>327</v>
      </c>
      <c r="C1057" s="218" t="s">
        <v>81</v>
      </c>
      <c r="D1057" s="218"/>
      <c r="E1057" s="217"/>
      <c r="F1057" s="300"/>
      <c r="G1057" s="344">
        <f t="shared" si="99"/>
        <v>46.6</v>
      </c>
      <c r="H1057" s="344">
        <f t="shared" si="99"/>
        <v>46.6</v>
      </c>
      <c r="I1057" s="102">
        <f t="shared" si="97"/>
        <v>100</v>
      </c>
      <c r="J1057" s="231"/>
      <c r="K1057" s="231"/>
      <c r="L1057" s="231"/>
      <c r="M1057" s="231"/>
      <c r="N1057" s="231"/>
    </row>
    <row r="1058" spans="1:14" s="214" customFormat="1" ht="15.75" x14ac:dyDescent="0.25">
      <c r="A1058" s="19" t="s">
        <v>95</v>
      </c>
      <c r="B1058" s="299" t="s">
        <v>327</v>
      </c>
      <c r="C1058" s="218" t="s">
        <v>81</v>
      </c>
      <c r="D1058" s="218" t="s">
        <v>96</v>
      </c>
      <c r="E1058" s="217"/>
      <c r="F1058" s="300"/>
      <c r="G1058" s="344">
        <f t="shared" si="99"/>
        <v>46.6</v>
      </c>
      <c r="H1058" s="344">
        <f t="shared" si="99"/>
        <v>46.6</v>
      </c>
      <c r="I1058" s="102">
        <f t="shared" si="97"/>
        <v>100</v>
      </c>
      <c r="J1058" s="231"/>
      <c r="K1058" s="231"/>
      <c r="L1058" s="231"/>
      <c r="M1058" s="231"/>
      <c r="N1058" s="231"/>
    </row>
    <row r="1059" spans="1:14" s="132" customFormat="1" ht="15.75" x14ac:dyDescent="0.25">
      <c r="A1059" s="26" t="s">
        <v>296</v>
      </c>
      <c r="B1059" s="299" t="s">
        <v>320</v>
      </c>
      <c r="C1059" s="218" t="s">
        <v>81</v>
      </c>
      <c r="D1059" s="218" t="s">
        <v>96</v>
      </c>
      <c r="E1059" s="300"/>
      <c r="F1059" s="300"/>
      <c r="G1059" s="344">
        <f t="shared" si="99"/>
        <v>46.6</v>
      </c>
      <c r="H1059" s="344">
        <f t="shared" si="99"/>
        <v>46.6</v>
      </c>
      <c r="I1059" s="102">
        <f t="shared" si="97"/>
        <v>100</v>
      </c>
      <c r="J1059" s="231"/>
      <c r="K1059" s="231"/>
      <c r="L1059" s="231"/>
      <c r="M1059" s="231"/>
      <c r="N1059" s="231"/>
    </row>
    <row r="1060" spans="1:14" s="132" customFormat="1" ht="31.5" x14ac:dyDescent="0.25">
      <c r="A1060" s="215" t="s">
        <v>88</v>
      </c>
      <c r="B1060" s="299" t="s">
        <v>320</v>
      </c>
      <c r="C1060" s="218" t="s">
        <v>81</v>
      </c>
      <c r="D1060" s="218" t="s">
        <v>96</v>
      </c>
      <c r="E1060" s="8" t="s">
        <v>89</v>
      </c>
      <c r="F1060" s="300"/>
      <c r="G1060" s="344">
        <f t="shared" si="99"/>
        <v>46.6</v>
      </c>
      <c r="H1060" s="344">
        <f t="shared" si="99"/>
        <v>46.6</v>
      </c>
      <c r="I1060" s="102">
        <f t="shared" si="97"/>
        <v>100</v>
      </c>
      <c r="J1060" s="231"/>
      <c r="K1060" s="231"/>
      <c r="L1060" s="231"/>
      <c r="M1060" s="231"/>
      <c r="N1060" s="231"/>
    </row>
    <row r="1061" spans="1:14" s="132" customFormat="1" ht="47.25" x14ac:dyDescent="0.25">
      <c r="A1061" s="215" t="s">
        <v>90</v>
      </c>
      <c r="B1061" s="299" t="s">
        <v>320</v>
      </c>
      <c r="C1061" s="218" t="s">
        <v>81</v>
      </c>
      <c r="D1061" s="218" t="s">
        <v>96</v>
      </c>
      <c r="E1061" s="8" t="s">
        <v>91</v>
      </c>
      <c r="F1061" s="300"/>
      <c r="G1061" s="344">
        <f>'Пр.4 Ведом23'!G190</f>
        <v>46.6</v>
      </c>
      <c r="H1061" s="344">
        <f>'Пр.4 Ведом23'!H190</f>
        <v>46.6</v>
      </c>
      <c r="I1061" s="102">
        <f t="shared" si="97"/>
        <v>100</v>
      </c>
      <c r="J1061" s="231"/>
      <c r="K1061" s="231"/>
      <c r="L1061" s="231"/>
      <c r="M1061" s="231"/>
      <c r="N1061" s="231"/>
    </row>
    <row r="1062" spans="1:14" s="132" customFormat="1" ht="31.5" x14ac:dyDescent="0.25">
      <c r="A1062" s="19" t="s">
        <v>880</v>
      </c>
      <c r="B1062" s="299" t="s">
        <v>320</v>
      </c>
      <c r="C1062" s="218" t="s">
        <v>81</v>
      </c>
      <c r="D1062" s="218" t="s">
        <v>96</v>
      </c>
      <c r="E1062" s="8" t="s">
        <v>91</v>
      </c>
      <c r="F1062" s="300">
        <v>902</v>
      </c>
      <c r="G1062" s="344">
        <f>G1061</f>
        <v>46.6</v>
      </c>
      <c r="H1062" s="344">
        <f>H1061</f>
        <v>46.6</v>
      </c>
      <c r="I1062" s="102">
        <f t="shared" si="97"/>
        <v>100</v>
      </c>
      <c r="J1062" s="231"/>
      <c r="K1062" s="231"/>
      <c r="L1062" s="231"/>
      <c r="M1062" s="231"/>
      <c r="N1062" s="231"/>
    </row>
    <row r="1063" spans="1:14" s="333" customFormat="1" ht="15.75" x14ac:dyDescent="0.25">
      <c r="A1063" s="335" t="s">
        <v>196</v>
      </c>
      <c r="B1063" s="334" t="s">
        <v>327</v>
      </c>
      <c r="C1063" s="334" t="s">
        <v>197</v>
      </c>
      <c r="D1063" s="334"/>
      <c r="E1063" s="8"/>
      <c r="F1063" s="359"/>
      <c r="G1063" s="344">
        <f t="shared" ref="G1063:H1066" si="100">G1064</f>
        <v>48.4</v>
      </c>
      <c r="H1063" s="344">
        <f t="shared" si="100"/>
        <v>48.4</v>
      </c>
      <c r="I1063" s="102">
        <f t="shared" si="97"/>
        <v>100</v>
      </c>
      <c r="J1063" s="231"/>
      <c r="K1063" s="231"/>
      <c r="L1063" s="231"/>
      <c r="M1063" s="231"/>
      <c r="N1063" s="231"/>
    </row>
    <row r="1064" spans="1:14" s="333" customFormat="1" ht="15.75" x14ac:dyDescent="0.25">
      <c r="A1064" s="335" t="s">
        <v>198</v>
      </c>
      <c r="B1064" s="334" t="s">
        <v>327</v>
      </c>
      <c r="C1064" s="334" t="s">
        <v>197</v>
      </c>
      <c r="D1064" s="334" t="s">
        <v>81</v>
      </c>
      <c r="E1064" s="8"/>
      <c r="F1064" s="359"/>
      <c r="G1064" s="344">
        <f t="shared" si="100"/>
        <v>48.4</v>
      </c>
      <c r="H1064" s="344">
        <f t="shared" si="100"/>
        <v>48.4</v>
      </c>
      <c r="I1064" s="102">
        <f t="shared" si="97"/>
        <v>100</v>
      </c>
      <c r="J1064" s="231"/>
      <c r="K1064" s="231"/>
      <c r="L1064" s="231"/>
      <c r="M1064" s="231"/>
      <c r="N1064" s="231"/>
    </row>
    <row r="1065" spans="1:14" s="333" customFormat="1" ht="31.5" x14ac:dyDescent="0.25">
      <c r="A1065" s="26" t="s">
        <v>1108</v>
      </c>
      <c r="B1065" s="358" t="s">
        <v>1109</v>
      </c>
      <c r="C1065" s="334" t="s">
        <v>197</v>
      </c>
      <c r="D1065" s="334" t="s">
        <v>81</v>
      </c>
      <c r="E1065" s="8"/>
      <c r="F1065" s="359"/>
      <c r="G1065" s="344">
        <f t="shared" si="100"/>
        <v>48.4</v>
      </c>
      <c r="H1065" s="344">
        <f t="shared" si="100"/>
        <v>48.4</v>
      </c>
      <c r="I1065" s="102">
        <f t="shared" si="97"/>
        <v>100</v>
      </c>
      <c r="J1065" s="231"/>
      <c r="K1065" s="231"/>
      <c r="L1065" s="231"/>
      <c r="M1065" s="231"/>
      <c r="N1065" s="231"/>
    </row>
    <row r="1066" spans="1:14" s="333" customFormat="1" ht="47.25" x14ac:dyDescent="0.25">
      <c r="A1066" s="19" t="s">
        <v>149</v>
      </c>
      <c r="B1066" s="358" t="s">
        <v>1109</v>
      </c>
      <c r="C1066" s="334" t="s">
        <v>197</v>
      </c>
      <c r="D1066" s="334" t="s">
        <v>81</v>
      </c>
      <c r="E1066" s="8" t="s">
        <v>150</v>
      </c>
      <c r="F1066" s="359"/>
      <c r="G1066" s="344">
        <f t="shared" si="100"/>
        <v>48.4</v>
      </c>
      <c r="H1066" s="344">
        <f t="shared" si="100"/>
        <v>48.4</v>
      </c>
      <c r="I1066" s="102">
        <f t="shared" si="97"/>
        <v>100</v>
      </c>
      <c r="J1066" s="231"/>
      <c r="K1066" s="231"/>
      <c r="L1066" s="231"/>
      <c r="M1066" s="231"/>
      <c r="N1066" s="231"/>
    </row>
    <row r="1067" spans="1:14" s="333" customFormat="1" ht="15.75" x14ac:dyDescent="0.25">
      <c r="A1067" s="68" t="s">
        <v>151</v>
      </c>
      <c r="B1067" s="358" t="s">
        <v>1109</v>
      </c>
      <c r="C1067" s="334" t="s">
        <v>197</v>
      </c>
      <c r="D1067" s="334" t="s">
        <v>81</v>
      </c>
      <c r="E1067" s="8" t="s">
        <v>152</v>
      </c>
      <c r="F1067" s="359"/>
      <c r="G1067" s="344">
        <f>'Пр.4 Ведом23'!G1018</f>
        <v>48.4</v>
      </c>
      <c r="H1067" s="344">
        <f>'Пр.4 Ведом23'!H1018</f>
        <v>48.4</v>
      </c>
      <c r="I1067" s="102">
        <f t="shared" si="97"/>
        <v>100</v>
      </c>
      <c r="J1067" s="231"/>
      <c r="K1067" s="231"/>
      <c r="L1067" s="231"/>
      <c r="M1067" s="231"/>
      <c r="N1067" s="231"/>
    </row>
    <row r="1068" spans="1:14" s="333" customFormat="1" ht="31.5" x14ac:dyDescent="0.25">
      <c r="A1068" s="19" t="s">
        <v>889</v>
      </c>
      <c r="B1068" s="358" t="s">
        <v>1109</v>
      </c>
      <c r="C1068" s="334" t="s">
        <v>197</v>
      </c>
      <c r="D1068" s="334" t="s">
        <v>81</v>
      </c>
      <c r="E1068" s="8" t="s">
        <v>152</v>
      </c>
      <c r="F1068" s="359">
        <v>907</v>
      </c>
      <c r="G1068" s="344">
        <f>G1067</f>
        <v>48.4</v>
      </c>
      <c r="H1068" s="344">
        <f>H1067</f>
        <v>48.4</v>
      </c>
      <c r="I1068" s="102">
        <f t="shared" si="97"/>
        <v>100</v>
      </c>
      <c r="J1068" s="231"/>
      <c r="K1068" s="231"/>
      <c r="L1068" s="231"/>
      <c r="M1068" s="231"/>
      <c r="N1068" s="231"/>
    </row>
    <row r="1069" spans="1:14" s="76" customFormat="1" ht="47.25" hidden="1" x14ac:dyDescent="0.25">
      <c r="A1069" s="116" t="s">
        <v>902</v>
      </c>
      <c r="B1069" s="117" t="s">
        <v>539</v>
      </c>
      <c r="C1069" s="6"/>
      <c r="D1069" s="217"/>
      <c r="E1069" s="39"/>
      <c r="F1069" s="228"/>
      <c r="G1069" s="302">
        <f t="shared" ref="G1069:H1074" si="101">G1070</f>
        <v>0</v>
      </c>
      <c r="H1069" s="567">
        <f t="shared" si="101"/>
        <v>0</v>
      </c>
      <c r="I1069" s="102" t="e">
        <f t="shared" si="97"/>
        <v>#DIV/0!</v>
      </c>
      <c r="J1069" s="231"/>
      <c r="K1069" s="231"/>
      <c r="L1069" s="231"/>
      <c r="M1069" s="231"/>
      <c r="N1069" s="231"/>
    </row>
    <row r="1070" spans="1:14" s="76" customFormat="1" ht="31.5" hidden="1" x14ac:dyDescent="0.25">
      <c r="A1070" s="116" t="s">
        <v>540</v>
      </c>
      <c r="B1070" s="117" t="s">
        <v>541</v>
      </c>
      <c r="C1070" s="6"/>
      <c r="D1070" s="217"/>
      <c r="E1070" s="39"/>
      <c r="F1070" s="228"/>
      <c r="G1070" s="302">
        <f t="shared" si="101"/>
        <v>0</v>
      </c>
      <c r="H1070" s="567">
        <f t="shared" si="101"/>
        <v>0</v>
      </c>
      <c r="I1070" s="102" t="e">
        <f t="shared" si="97"/>
        <v>#DIV/0!</v>
      </c>
      <c r="J1070" s="231"/>
      <c r="K1070" s="231"/>
      <c r="L1070" s="231"/>
      <c r="M1070" s="231"/>
      <c r="N1070" s="231"/>
    </row>
    <row r="1071" spans="1:14" s="214" customFormat="1" ht="15.75" hidden="1" x14ac:dyDescent="0.25">
      <c r="A1071" s="19" t="s">
        <v>184</v>
      </c>
      <c r="B1071" s="218" t="s">
        <v>541</v>
      </c>
      <c r="C1071" s="217" t="s">
        <v>129</v>
      </c>
      <c r="D1071" s="217"/>
      <c r="E1071" s="39"/>
      <c r="F1071" s="228"/>
      <c r="G1071" s="344">
        <f t="shared" si="101"/>
        <v>0</v>
      </c>
      <c r="H1071" s="344">
        <f t="shared" si="101"/>
        <v>0</v>
      </c>
      <c r="I1071" s="102" t="e">
        <f t="shared" si="97"/>
        <v>#DIV/0!</v>
      </c>
      <c r="J1071" s="231"/>
      <c r="K1071" s="231"/>
      <c r="L1071" s="231"/>
      <c r="M1071" s="231"/>
      <c r="N1071" s="231"/>
    </row>
    <row r="1072" spans="1:14" s="214" customFormat="1" ht="15.75" hidden="1" x14ac:dyDescent="0.25">
      <c r="A1072" s="19" t="s">
        <v>207</v>
      </c>
      <c r="B1072" s="218" t="s">
        <v>541</v>
      </c>
      <c r="C1072" s="217" t="s">
        <v>129</v>
      </c>
      <c r="D1072" s="217" t="s">
        <v>119</v>
      </c>
      <c r="E1072" s="39"/>
      <c r="F1072" s="228"/>
      <c r="G1072" s="344">
        <f t="shared" si="101"/>
        <v>0</v>
      </c>
      <c r="H1072" s="344">
        <f t="shared" si="101"/>
        <v>0</v>
      </c>
      <c r="I1072" s="102" t="e">
        <f t="shared" si="97"/>
        <v>#DIV/0!</v>
      </c>
      <c r="J1072" s="231"/>
      <c r="K1072" s="231"/>
      <c r="L1072" s="231"/>
      <c r="M1072" s="231"/>
      <c r="N1072" s="231"/>
    </row>
    <row r="1073" spans="1:14" s="76" customFormat="1" ht="15.75" hidden="1" x14ac:dyDescent="0.25">
      <c r="A1073" s="215" t="s">
        <v>215</v>
      </c>
      <c r="B1073" s="218" t="s">
        <v>542</v>
      </c>
      <c r="C1073" s="217" t="s">
        <v>129</v>
      </c>
      <c r="D1073" s="217" t="s">
        <v>119</v>
      </c>
      <c r="E1073" s="39"/>
      <c r="F1073" s="228"/>
      <c r="G1073" s="344">
        <f t="shared" si="101"/>
        <v>0</v>
      </c>
      <c r="H1073" s="344">
        <f t="shared" si="101"/>
        <v>0</v>
      </c>
      <c r="I1073" s="102" t="e">
        <f t="shared" si="97"/>
        <v>#DIV/0!</v>
      </c>
      <c r="J1073" s="231"/>
      <c r="K1073" s="231"/>
      <c r="L1073" s="231"/>
      <c r="M1073" s="231"/>
      <c r="N1073" s="231"/>
    </row>
    <row r="1074" spans="1:14" s="76" customFormat="1" ht="31.5" hidden="1" x14ac:dyDescent="0.25">
      <c r="A1074" s="215" t="s">
        <v>88</v>
      </c>
      <c r="B1074" s="218" t="s">
        <v>542</v>
      </c>
      <c r="C1074" s="217" t="s">
        <v>129</v>
      </c>
      <c r="D1074" s="217" t="s">
        <v>119</v>
      </c>
      <c r="E1074" s="217" t="s">
        <v>89</v>
      </c>
      <c r="F1074" s="228"/>
      <c r="G1074" s="344">
        <f t="shared" si="101"/>
        <v>0</v>
      </c>
      <c r="H1074" s="344">
        <f t="shared" si="101"/>
        <v>0</v>
      </c>
      <c r="I1074" s="102" t="e">
        <f t="shared" si="97"/>
        <v>#DIV/0!</v>
      </c>
      <c r="J1074" s="231"/>
      <c r="K1074" s="231"/>
      <c r="L1074" s="231"/>
      <c r="M1074" s="231"/>
      <c r="N1074" s="231"/>
    </row>
    <row r="1075" spans="1:14" s="76" customFormat="1" ht="47.25" hidden="1" x14ac:dyDescent="0.25">
      <c r="A1075" s="215" t="s">
        <v>90</v>
      </c>
      <c r="B1075" s="218" t="s">
        <v>542</v>
      </c>
      <c r="C1075" s="217" t="s">
        <v>129</v>
      </c>
      <c r="D1075" s="217" t="s">
        <v>119</v>
      </c>
      <c r="E1075" s="217" t="s">
        <v>91</v>
      </c>
      <c r="F1075" s="228"/>
      <c r="G1075" s="344">
        <f>'Пр.4 Ведом23'!G1240</f>
        <v>0</v>
      </c>
      <c r="H1075" s="344">
        <f>'Пр.4 Ведом23'!H1240</f>
        <v>0</v>
      </c>
      <c r="I1075" s="102" t="e">
        <f t="shared" si="97"/>
        <v>#DIV/0!</v>
      </c>
      <c r="J1075" s="231"/>
      <c r="K1075" s="231"/>
      <c r="L1075" s="231"/>
      <c r="M1075" s="231"/>
      <c r="N1075" s="231"/>
    </row>
    <row r="1076" spans="1:14" s="76" customFormat="1" ht="47.25" hidden="1" x14ac:dyDescent="0.25">
      <c r="A1076" s="26" t="s">
        <v>877</v>
      </c>
      <c r="B1076" s="218" t="s">
        <v>542</v>
      </c>
      <c r="C1076" s="217" t="s">
        <v>129</v>
      </c>
      <c r="D1076" s="217" t="s">
        <v>119</v>
      </c>
      <c r="E1076" s="300">
        <v>240</v>
      </c>
      <c r="F1076" s="300">
        <v>908</v>
      </c>
      <c r="G1076" s="344">
        <f>G1075</f>
        <v>0</v>
      </c>
      <c r="H1076" s="344">
        <f>H1075</f>
        <v>0</v>
      </c>
      <c r="I1076" s="102" t="e">
        <f t="shared" si="97"/>
        <v>#DIV/0!</v>
      </c>
      <c r="J1076" s="231"/>
      <c r="K1076" s="231"/>
      <c r="L1076" s="231"/>
      <c r="M1076" s="231"/>
      <c r="N1076" s="231"/>
    </row>
    <row r="1077" spans="1:14" s="1" customFormat="1" ht="66" hidden="1" customHeight="1" x14ac:dyDescent="0.25">
      <c r="A1077" s="116" t="s">
        <v>1041</v>
      </c>
      <c r="B1077" s="117" t="s">
        <v>835</v>
      </c>
      <c r="C1077" s="117"/>
      <c r="D1077" s="40"/>
      <c r="E1077" s="40"/>
      <c r="F1077" s="145"/>
      <c r="G1077" s="302">
        <f t="shared" ref="G1077:H1082" si="102">G1078</f>
        <v>0</v>
      </c>
      <c r="H1077" s="567">
        <f t="shared" si="102"/>
        <v>0</v>
      </c>
      <c r="I1077" s="102" t="e">
        <f t="shared" si="97"/>
        <v>#DIV/0!</v>
      </c>
      <c r="J1077" s="231"/>
      <c r="K1077" s="231"/>
      <c r="L1077" s="231"/>
      <c r="M1077" s="231"/>
      <c r="N1077" s="231"/>
    </row>
    <row r="1078" spans="1:14" s="1" customFormat="1" ht="47.45" hidden="1" customHeight="1" x14ac:dyDescent="0.25">
      <c r="A1078" s="22" t="s">
        <v>834</v>
      </c>
      <c r="B1078" s="117" t="s">
        <v>836</v>
      </c>
      <c r="C1078" s="117"/>
      <c r="D1078" s="217"/>
      <c r="E1078" s="40"/>
      <c r="F1078" s="145"/>
      <c r="G1078" s="302">
        <f t="shared" si="102"/>
        <v>0</v>
      </c>
      <c r="H1078" s="567">
        <f t="shared" si="102"/>
        <v>0</v>
      </c>
      <c r="I1078" s="102" t="e">
        <f t="shared" si="97"/>
        <v>#DIV/0!</v>
      </c>
      <c r="J1078" s="231"/>
      <c r="K1078" s="231"/>
      <c r="L1078" s="231"/>
      <c r="M1078" s="231"/>
      <c r="N1078" s="231"/>
    </row>
    <row r="1079" spans="1:14" s="214" customFormat="1" ht="15.75" hidden="1" x14ac:dyDescent="0.25">
      <c r="A1079" s="215" t="s">
        <v>832</v>
      </c>
      <c r="B1079" s="218" t="s">
        <v>836</v>
      </c>
      <c r="C1079" s="218" t="s">
        <v>83</v>
      </c>
      <c r="D1079" s="217"/>
      <c r="E1079" s="40"/>
      <c r="F1079" s="145"/>
      <c r="G1079" s="344">
        <f t="shared" si="102"/>
        <v>0</v>
      </c>
      <c r="H1079" s="344">
        <f t="shared" si="102"/>
        <v>0</v>
      </c>
      <c r="I1079" s="102" t="e">
        <f t="shared" si="97"/>
        <v>#DIV/0!</v>
      </c>
      <c r="J1079" s="231"/>
      <c r="K1079" s="231"/>
      <c r="L1079" s="231"/>
      <c r="M1079" s="231"/>
      <c r="N1079" s="231"/>
    </row>
    <row r="1080" spans="1:14" s="214" customFormat="1" ht="31.5" hidden="1" x14ac:dyDescent="0.25">
      <c r="A1080" s="215" t="s">
        <v>833</v>
      </c>
      <c r="B1080" s="218" t="s">
        <v>836</v>
      </c>
      <c r="C1080" s="218" t="s">
        <v>83</v>
      </c>
      <c r="D1080" s="217" t="s">
        <v>129</v>
      </c>
      <c r="E1080" s="40"/>
      <c r="F1080" s="145"/>
      <c r="G1080" s="344">
        <f t="shared" si="102"/>
        <v>0</v>
      </c>
      <c r="H1080" s="344">
        <f t="shared" si="102"/>
        <v>0</v>
      </c>
      <c r="I1080" s="102" t="e">
        <f t="shared" si="97"/>
        <v>#DIV/0!</v>
      </c>
      <c r="J1080" s="231"/>
      <c r="K1080" s="231"/>
      <c r="L1080" s="231"/>
      <c r="M1080" s="231"/>
      <c r="N1080" s="231"/>
    </row>
    <row r="1081" spans="1:14" s="1" customFormat="1" ht="47.25" hidden="1" x14ac:dyDescent="0.25">
      <c r="A1081" s="20" t="s">
        <v>818</v>
      </c>
      <c r="B1081" s="218" t="s">
        <v>837</v>
      </c>
      <c r="C1081" s="218" t="s">
        <v>83</v>
      </c>
      <c r="D1081" s="217" t="s">
        <v>129</v>
      </c>
      <c r="E1081" s="39"/>
      <c r="F1081" s="228"/>
      <c r="G1081" s="344">
        <f t="shared" si="102"/>
        <v>0</v>
      </c>
      <c r="H1081" s="344">
        <f t="shared" si="102"/>
        <v>0</v>
      </c>
      <c r="I1081" s="102" t="e">
        <f t="shared" si="97"/>
        <v>#DIV/0!</v>
      </c>
      <c r="J1081" s="231"/>
      <c r="K1081" s="231"/>
      <c r="L1081" s="231"/>
      <c r="M1081" s="231"/>
      <c r="N1081" s="231"/>
    </row>
    <row r="1082" spans="1:14" s="1" customFormat="1" ht="31.5" hidden="1" x14ac:dyDescent="0.25">
      <c r="A1082" s="215" t="s">
        <v>88</v>
      </c>
      <c r="B1082" s="218" t="s">
        <v>837</v>
      </c>
      <c r="C1082" s="218" t="s">
        <v>83</v>
      </c>
      <c r="D1082" s="217" t="s">
        <v>129</v>
      </c>
      <c r="E1082" s="218" t="s">
        <v>89</v>
      </c>
      <c r="F1082" s="228"/>
      <c r="G1082" s="344">
        <f t="shared" si="102"/>
        <v>0</v>
      </c>
      <c r="H1082" s="344">
        <f t="shared" si="102"/>
        <v>0</v>
      </c>
      <c r="I1082" s="102" t="e">
        <f t="shared" si="97"/>
        <v>#DIV/0!</v>
      </c>
      <c r="J1082" s="231"/>
      <c r="K1082" s="231"/>
      <c r="L1082" s="231"/>
      <c r="M1082" s="231"/>
      <c r="N1082" s="231"/>
    </row>
    <row r="1083" spans="1:14" s="1" customFormat="1" ht="47.25" hidden="1" x14ac:dyDescent="0.25">
      <c r="A1083" s="215" t="s">
        <v>90</v>
      </c>
      <c r="B1083" s="218" t="s">
        <v>837</v>
      </c>
      <c r="C1083" s="218" t="s">
        <v>83</v>
      </c>
      <c r="D1083" s="217" t="s">
        <v>129</v>
      </c>
      <c r="E1083" s="218" t="s">
        <v>91</v>
      </c>
      <c r="F1083" s="228"/>
      <c r="G1083" s="344">
        <f>'Пр.4 Ведом23'!G1378</f>
        <v>0</v>
      </c>
      <c r="H1083" s="344">
        <f>'Пр.4 Ведом23'!H1378</f>
        <v>0</v>
      </c>
      <c r="I1083" s="102" t="e">
        <f t="shared" si="97"/>
        <v>#DIV/0!</v>
      </c>
      <c r="J1083" s="231"/>
      <c r="K1083" s="231"/>
      <c r="L1083" s="231"/>
      <c r="M1083" s="231"/>
      <c r="N1083" s="231"/>
    </row>
    <row r="1084" spans="1:14" s="76" customFormat="1" ht="47.25" hidden="1" x14ac:dyDescent="0.25">
      <c r="A1084" s="26" t="s">
        <v>877</v>
      </c>
      <c r="B1084" s="218" t="s">
        <v>837</v>
      </c>
      <c r="C1084" s="218" t="s">
        <v>83</v>
      </c>
      <c r="D1084" s="217" t="s">
        <v>129</v>
      </c>
      <c r="E1084" s="217" t="s">
        <v>91</v>
      </c>
      <c r="F1084" s="300">
        <v>908</v>
      </c>
      <c r="G1084" s="344">
        <f>G1083</f>
        <v>0</v>
      </c>
      <c r="H1084" s="344">
        <f>H1083</f>
        <v>0</v>
      </c>
      <c r="I1084" s="102" t="e">
        <f t="shared" si="97"/>
        <v>#DIV/0!</v>
      </c>
      <c r="J1084" s="231"/>
      <c r="K1084" s="231"/>
      <c r="L1084" s="231"/>
      <c r="M1084" s="231"/>
      <c r="N1084" s="231"/>
    </row>
    <row r="1085" spans="1:14" s="214" customFormat="1" ht="63" x14ac:dyDescent="0.25">
      <c r="A1085" s="116" t="s">
        <v>862</v>
      </c>
      <c r="B1085" s="117" t="s">
        <v>863</v>
      </c>
      <c r="C1085" s="117"/>
      <c r="D1085" s="217"/>
      <c r="E1085" s="217"/>
      <c r="F1085" s="300"/>
      <c r="G1085" s="302">
        <f t="shared" ref="G1085:H1090" si="103">G1086</f>
        <v>7277.233009999999</v>
      </c>
      <c r="H1085" s="567">
        <f t="shared" si="103"/>
        <v>6977.7043199999998</v>
      </c>
      <c r="I1085" s="221">
        <f t="shared" si="97"/>
        <v>95.884030515603911</v>
      </c>
      <c r="J1085" s="231"/>
      <c r="K1085" s="231"/>
      <c r="L1085" s="231"/>
      <c r="M1085" s="231"/>
      <c r="N1085" s="231"/>
    </row>
    <row r="1086" spans="1:14" s="214" customFormat="1" ht="31.5" x14ac:dyDescent="0.25">
      <c r="A1086" s="130" t="s">
        <v>864</v>
      </c>
      <c r="B1086" s="117" t="s">
        <v>867</v>
      </c>
      <c r="C1086" s="117"/>
      <c r="D1086" s="217"/>
      <c r="E1086" s="217"/>
      <c r="F1086" s="300"/>
      <c r="G1086" s="302">
        <f t="shared" si="103"/>
        <v>7277.233009999999</v>
      </c>
      <c r="H1086" s="567">
        <f t="shared" si="103"/>
        <v>6977.7043199999998</v>
      </c>
      <c r="I1086" s="221">
        <f t="shared" si="97"/>
        <v>95.884030515603911</v>
      </c>
      <c r="J1086" s="231"/>
      <c r="K1086" s="231"/>
      <c r="L1086" s="231"/>
      <c r="M1086" s="231"/>
      <c r="N1086" s="231"/>
    </row>
    <row r="1087" spans="1:14" s="216" customFormat="1" ht="15.75" x14ac:dyDescent="0.25">
      <c r="A1087" s="19" t="s">
        <v>184</v>
      </c>
      <c r="B1087" s="218" t="s">
        <v>867</v>
      </c>
      <c r="C1087" s="218" t="s">
        <v>129</v>
      </c>
      <c r="D1087" s="217"/>
      <c r="E1087" s="217"/>
      <c r="F1087" s="300"/>
      <c r="G1087" s="344">
        <f t="shared" si="103"/>
        <v>7277.233009999999</v>
      </c>
      <c r="H1087" s="344">
        <f t="shared" si="103"/>
        <v>6977.7043199999998</v>
      </c>
      <c r="I1087" s="102">
        <f t="shared" si="97"/>
        <v>95.884030515603911</v>
      </c>
      <c r="J1087" s="231"/>
      <c r="K1087" s="231"/>
      <c r="L1087" s="231"/>
      <c r="M1087" s="231"/>
      <c r="N1087" s="231"/>
    </row>
    <row r="1088" spans="1:14" s="216" customFormat="1" ht="15.75" x14ac:dyDescent="0.25">
      <c r="A1088" s="19" t="s">
        <v>185</v>
      </c>
      <c r="B1088" s="218" t="s">
        <v>867</v>
      </c>
      <c r="C1088" s="218" t="s">
        <v>129</v>
      </c>
      <c r="D1088" s="217" t="s">
        <v>81</v>
      </c>
      <c r="E1088" s="217"/>
      <c r="F1088" s="300"/>
      <c r="G1088" s="344">
        <f t="shared" si="103"/>
        <v>7277.233009999999</v>
      </c>
      <c r="H1088" s="344">
        <f t="shared" si="103"/>
        <v>6977.7043199999998</v>
      </c>
      <c r="I1088" s="102">
        <f t="shared" si="97"/>
        <v>95.884030515603911</v>
      </c>
      <c r="J1088" s="231"/>
      <c r="K1088" s="231"/>
      <c r="L1088" s="231"/>
      <c r="M1088" s="231"/>
      <c r="N1088" s="231"/>
    </row>
    <row r="1089" spans="1:14" s="214" customFormat="1" ht="47.25" x14ac:dyDescent="0.25">
      <c r="A1089" s="19" t="s">
        <v>865</v>
      </c>
      <c r="B1089" s="218" t="s">
        <v>866</v>
      </c>
      <c r="C1089" s="218" t="s">
        <v>129</v>
      </c>
      <c r="D1089" s="217" t="s">
        <v>81</v>
      </c>
      <c r="E1089" s="217"/>
      <c r="F1089" s="300"/>
      <c r="G1089" s="344">
        <f t="shared" si="103"/>
        <v>7277.233009999999</v>
      </c>
      <c r="H1089" s="344">
        <f t="shared" si="103"/>
        <v>6977.7043199999998</v>
      </c>
      <c r="I1089" s="102">
        <f t="shared" si="97"/>
        <v>95.884030515603911</v>
      </c>
      <c r="J1089" s="231"/>
      <c r="K1089" s="231"/>
      <c r="L1089" s="231"/>
      <c r="M1089" s="231"/>
      <c r="N1089" s="231"/>
    </row>
    <row r="1090" spans="1:14" s="214" customFormat="1" ht="31.5" x14ac:dyDescent="0.25">
      <c r="A1090" s="215" t="s">
        <v>88</v>
      </c>
      <c r="B1090" s="218" t="s">
        <v>866</v>
      </c>
      <c r="C1090" s="218" t="s">
        <v>129</v>
      </c>
      <c r="D1090" s="217" t="s">
        <v>81</v>
      </c>
      <c r="E1090" s="218" t="s">
        <v>89</v>
      </c>
      <c r="F1090" s="300"/>
      <c r="G1090" s="344">
        <f t="shared" si="103"/>
        <v>7277.233009999999</v>
      </c>
      <c r="H1090" s="344">
        <f t="shared" si="103"/>
        <v>6977.7043199999998</v>
      </c>
      <c r="I1090" s="102">
        <f t="shared" si="97"/>
        <v>95.884030515603911</v>
      </c>
      <c r="J1090" s="231"/>
      <c r="K1090" s="231"/>
      <c r="L1090" s="231"/>
      <c r="M1090" s="231"/>
      <c r="N1090" s="231"/>
    </row>
    <row r="1091" spans="1:14" s="214" customFormat="1" ht="47.25" x14ac:dyDescent="0.25">
      <c r="A1091" s="215" t="s">
        <v>90</v>
      </c>
      <c r="B1091" s="218" t="s">
        <v>866</v>
      </c>
      <c r="C1091" s="218" t="s">
        <v>129</v>
      </c>
      <c r="D1091" s="217" t="s">
        <v>81</v>
      </c>
      <c r="E1091" s="218" t="s">
        <v>91</v>
      </c>
      <c r="F1091" s="300"/>
      <c r="G1091" s="344">
        <f>'Пр.4 Ведом23'!G1168</f>
        <v>7277.233009999999</v>
      </c>
      <c r="H1091" s="344">
        <f>'Пр.4 Ведом23'!H1168</f>
        <v>6977.7043199999998</v>
      </c>
      <c r="I1091" s="102">
        <f t="shared" si="97"/>
        <v>95.884030515603911</v>
      </c>
      <c r="J1091" s="231"/>
      <c r="K1091" s="231"/>
      <c r="L1091" s="231"/>
      <c r="M1091" s="231"/>
      <c r="N1091" s="231"/>
    </row>
    <row r="1092" spans="1:14" s="214" customFormat="1" ht="47.25" x14ac:dyDescent="0.25">
      <c r="A1092" s="26" t="s">
        <v>877</v>
      </c>
      <c r="B1092" s="218" t="s">
        <v>866</v>
      </c>
      <c r="C1092" s="218" t="s">
        <v>129</v>
      </c>
      <c r="D1092" s="217" t="s">
        <v>81</v>
      </c>
      <c r="E1092" s="218" t="s">
        <v>91</v>
      </c>
      <c r="F1092" s="300">
        <v>908</v>
      </c>
      <c r="G1092" s="344">
        <f>G1091</f>
        <v>7277.233009999999</v>
      </c>
      <c r="H1092" s="344">
        <f>H1091</f>
        <v>6977.7043199999998</v>
      </c>
      <c r="I1092" s="102">
        <f t="shared" si="97"/>
        <v>95.884030515603911</v>
      </c>
      <c r="J1092" s="231"/>
      <c r="K1092" s="231"/>
      <c r="L1092" s="231"/>
      <c r="M1092" s="231"/>
      <c r="N1092" s="231"/>
    </row>
    <row r="1093" spans="1:14" s="333" customFormat="1" ht="78.75" x14ac:dyDescent="0.25">
      <c r="A1093" s="30" t="s">
        <v>1101</v>
      </c>
      <c r="B1093" s="117" t="s">
        <v>1103</v>
      </c>
      <c r="C1093" s="117"/>
      <c r="D1093" s="6"/>
      <c r="E1093" s="117"/>
      <c r="F1093" s="3"/>
      <c r="G1093" s="302">
        <f t="shared" ref="G1093:H1098" si="104">G1094</f>
        <v>828.59479999999996</v>
      </c>
      <c r="H1093" s="567">
        <f t="shared" si="104"/>
        <v>287.02032000000003</v>
      </c>
      <c r="I1093" s="221">
        <f t="shared" si="97"/>
        <v>34.639406378123546</v>
      </c>
      <c r="J1093" s="231"/>
      <c r="K1093" s="231"/>
      <c r="L1093" s="231"/>
      <c r="M1093" s="231"/>
      <c r="N1093" s="231"/>
    </row>
    <row r="1094" spans="1:14" s="333" customFormat="1" ht="31.5" x14ac:dyDescent="0.25">
      <c r="A1094" s="335" t="s">
        <v>124</v>
      </c>
      <c r="B1094" s="334" t="s">
        <v>1103</v>
      </c>
      <c r="C1094" s="334" t="s">
        <v>120</v>
      </c>
      <c r="D1094" s="217"/>
      <c r="E1094" s="334"/>
      <c r="F1094" s="355"/>
      <c r="G1094" s="344">
        <f t="shared" si="104"/>
        <v>828.59479999999996</v>
      </c>
      <c r="H1094" s="344">
        <f t="shared" si="104"/>
        <v>287.02032000000003</v>
      </c>
      <c r="I1094" s="102">
        <f t="shared" si="97"/>
        <v>34.639406378123546</v>
      </c>
      <c r="J1094" s="231"/>
      <c r="K1094" s="231"/>
      <c r="L1094" s="231"/>
      <c r="M1094" s="231"/>
      <c r="N1094" s="231"/>
    </row>
    <row r="1095" spans="1:14" s="333" customFormat="1" ht="47.25" x14ac:dyDescent="0.25">
      <c r="A1095" s="335" t="s">
        <v>640</v>
      </c>
      <c r="B1095" s="334" t="s">
        <v>1103</v>
      </c>
      <c r="C1095" s="334" t="s">
        <v>120</v>
      </c>
      <c r="D1095" s="217" t="s">
        <v>134</v>
      </c>
      <c r="E1095" s="334"/>
      <c r="F1095" s="355"/>
      <c r="G1095" s="344">
        <f t="shared" si="104"/>
        <v>828.59479999999996</v>
      </c>
      <c r="H1095" s="344">
        <f t="shared" si="104"/>
        <v>287.02032000000003</v>
      </c>
      <c r="I1095" s="102">
        <f t="shared" si="97"/>
        <v>34.639406378123546</v>
      </c>
      <c r="J1095" s="231"/>
      <c r="K1095" s="231"/>
      <c r="L1095" s="231"/>
      <c r="M1095" s="231"/>
      <c r="N1095" s="231"/>
    </row>
    <row r="1096" spans="1:14" s="333" customFormat="1" ht="47.25" x14ac:dyDescent="0.25">
      <c r="A1096" s="26" t="s">
        <v>1102</v>
      </c>
      <c r="B1096" s="334" t="s">
        <v>1104</v>
      </c>
      <c r="C1096" s="334" t="s">
        <v>120</v>
      </c>
      <c r="D1096" s="217" t="s">
        <v>134</v>
      </c>
      <c r="E1096" s="334"/>
      <c r="F1096" s="355"/>
      <c r="G1096" s="344">
        <f t="shared" si="104"/>
        <v>828.59479999999996</v>
      </c>
      <c r="H1096" s="344">
        <f t="shared" si="104"/>
        <v>287.02032000000003</v>
      </c>
      <c r="I1096" s="102">
        <f t="shared" si="97"/>
        <v>34.639406378123546</v>
      </c>
      <c r="J1096" s="231"/>
      <c r="K1096" s="231"/>
      <c r="L1096" s="231"/>
      <c r="M1096" s="231"/>
      <c r="N1096" s="231"/>
    </row>
    <row r="1097" spans="1:14" s="333" customFormat="1" ht="78.75" x14ac:dyDescent="0.25">
      <c r="A1097" s="335" t="s">
        <v>1069</v>
      </c>
      <c r="B1097" s="334" t="s">
        <v>1105</v>
      </c>
      <c r="C1097" s="334" t="s">
        <v>120</v>
      </c>
      <c r="D1097" s="217" t="s">
        <v>134</v>
      </c>
      <c r="E1097" s="334"/>
      <c r="F1097" s="355"/>
      <c r="G1097" s="344">
        <f t="shared" si="104"/>
        <v>828.59479999999996</v>
      </c>
      <c r="H1097" s="344">
        <f t="shared" si="104"/>
        <v>287.02032000000003</v>
      </c>
      <c r="I1097" s="102">
        <f t="shared" si="97"/>
        <v>34.639406378123546</v>
      </c>
      <c r="J1097" s="231"/>
      <c r="K1097" s="231"/>
      <c r="L1097" s="231"/>
      <c r="M1097" s="231"/>
      <c r="N1097" s="231"/>
    </row>
    <row r="1098" spans="1:14" s="333" customFormat="1" ht="31.5" x14ac:dyDescent="0.25">
      <c r="A1098" s="335" t="s">
        <v>88</v>
      </c>
      <c r="B1098" s="334" t="s">
        <v>1105</v>
      </c>
      <c r="C1098" s="334" t="s">
        <v>120</v>
      </c>
      <c r="D1098" s="217" t="s">
        <v>134</v>
      </c>
      <c r="E1098" s="334" t="s">
        <v>89</v>
      </c>
      <c r="F1098" s="355"/>
      <c r="G1098" s="344">
        <f t="shared" si="104"/>
        <v>828.59479999999996</v>
      </c>
      <c r="H1098" s="344">
        <f t="shared" si="104"/>
        <v>287.02032000000003</v>
      </c>
      <c r="I1098" s="102">
        <f t="shared" si="97"/>
        <v>34.639406378123546</v>
      </c>
      <c r="J1098" s="231"/>
      <c r="K1098" s="231"/>
      <c r="L1098" s="231"/>
      <c r="M1098" s="231"/>
      <c r="N1098" s="231"/>
    </row>
    <row r="1099" spans="1:14" s="333" customFormat="1" ht="47.25" x14ac:dyDescent="0.25">
      <c r="A1099" s="335" t="s">
        <v>90</v>
      </c>
      <c r="B1099" s="334" t="s">
        <v>1105</v>
      </c>
      <c r="C1099" s="334" t="s">
        <v>120</v>
      </c>
      <c r="D1099" s="217" t="s">
        <v>134</v>
      </c>
      <c r="E1099" s="334" t="s">
        <v>91</v>
      </c>
      <c r="F1099" s="355"/>
      <c r="G1099" s="344">
        <f>'Пр.4 Ведом23'!G234</f>
        <v>828.59479999999996</v>
      </c>
      <c r="H1099" s="344">
        <f>'Пр.4 Ведом23'!H234</f>
        <v>287.02032000000003</v>
      </c>
      <c r="I1099" s="102">
        <f t="shared" si="97"/>
        <v>34.639406378123546</v>
      </c>
      <c r="J1099" s="231"/>
      <c r="K1099" s="231"/>
      <c r="L1099" s="231"/>
      <c r="M1099" s="231"/>
      <c r="N1099" s="231"/>
    </row>
    <row r="1100" spans="1:14" s="333" customFormat="1" ht="31.5" x14ac:dyDescent="0.25">
      <c r="A1100" s="26" t="s">
        <v>880</v>
      </c>
      <c r="B1100" s="334" t="s">
        <v>1105</v>
      </c>
      <c r="C1100" s="334" t="s">
        <v>120</v>
      </c>
      <c r="D1100" s="217" t="s">
        <v>134</v>
      </c>
      <c r="E1100" s="334" t="s">
        <v>91</v>
      </c>
      <c r="F1100" s="355">
        <v>902</v>
      </c>
      <c r="G1100" s="344">
        <f>G1099</f>
        <v>828.59479999999996</v>
      </c>
      <c r="H1100" s="344">
        <f>H1099</f>
        <v>287.02032000000003</v>
      </c>
      <c r="I1100" s="102">
        <f t="shared" si="97"/>
        <v>34.639406378123546</v>
      </c>
      <c r="J1100" s="231"/>
      <c r="K1100" s="231"/>
      <c r="L1100" s="231"/>
      <c r="M1100" s="231"/>
      <c r="N1100" s="231"/>
    </row>
    <row r="1101" spans="1:14" s="132" customFormat="1" ht="15.75" x14ac:dyDescent="0.25">
      <c r="A1101" s="22" t="s">
        <v>897</v>
      </c>
      <c r="B1101" s="117"/>
      <c r="C1101" s="6"/>
      <c r="D1101" s="6"/>
      <c r="E1101" s="6"/>
      <c r="F1101" s="3"/>
      <c r="G1101" s="302">
        <f>G9+G34+G178+G365+G373+G407+G512+G705+G750+G827+G814+G884+G920+G1027+G1044+G1055+G1069+G1077+G1085+G1011+G1093</f>
        <v>630360.88388999982</v>
      </c>
      <c r="H1101" s="567">
        <f>H9+H34+H178+H365+H373+H407+H512+H705+H750+H827+H814+H884+H920+H1027+H1044+H1055+H1069+H1077+H1085+H1011+H1093</f>
        <v>622014.54215999995</v>
      </c>
      <c r="I1101" s="221">
        <f t="shared" si="97"/>
        <v>98.675942314425654</v>
      </c>
      <c r="J1101" s="231"/>
      <c r="K1101" s="231"/>
      <c r="L1101" s="231"/>
      <c r="M1101" s="231"/>
      <c r="N1101" s="231"/>
    </row>
    <row r="1102" spans="1:14" x14ac:dyDescent="0.25">
      <c r="G1102" s="442">
        <f>'Пр.4 Ведом23'!G1514</f>
        <v>0</v>
      </c>
      <c r="H1102" s="232">
        <f>'Пр.4 Ведом23'!H1514</f>
        <v>0</v>
      </c>
      <c r="I1102" s="232">
        <f>'Пр.4 Ведом23'!I1514</f>
        <v>0</v>
      </c>
    </row>
    <row r="1103" spans="1:14" x14ac:dyDescent="0.25">
      <c r="G1103" s="442">
        <f>G1101-G1102</f>
        <v>630360.88388999982</v>
      </c>
    </row>
  </sheetData>
  <mergeCells count="16">
    <mergeCell ref="I7:I8"/>
    <mergeCell ref="F3:G3"/>
    <mergeCell ref="F2:G2"/>
    <mergeCell ref="F1:G1"/>
    <mergeCell ref="A7:A8"/>
    <mergeCell ref="B7:B8"/>
    <mergeCell ref="C7:C8"/>
    <mergeCell ref="D7:D8"/>
    <mergeCell ref="E7:E8"/>
    <mergeCell ref="F7:F8"/>
    <mergeCell ref="A5:I5"/>
    <mergeCell ref="H3:I3"/>
    <mergeCell ref="H2:I2"/>
    <mergeCell ref="H1:I1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5"/>
  <sheetViews>
    <sheetView view="pageBreakPreview" zoomScale="80" zoomScaleNormal="79" zoomScaleSheetLayoutView="80" workbookViewId="0">
      <selection activeCell="H1" sqref="H1:I3"/>
    </sheetView>
  </sheetViews>
  <sheetFormatPr defaultColWidth="9.140625" defaultRowHeight="15" x14ac:dyDescent="0.25"/>
  <cols>
    <col min="1" max="1" width="48.140625" style="230" customWidth="1"/>
    <col min="2" max="2" width="17.42578125" style="231" customWidth="1"/>
    <col min="3" max="3" width="8.140625" style="231" customWidth="1"/>
    <col min="4" max="4" width="6.85546875" style="125" customWidth="1"/>
    <col min="5" max="5" width="7" style="125" customWidth="1"/>
    <col min="6" max="6" width="6.85546875" style="235" customWidth="1"/>
    <col min="7" max="7" width="12.85546875" style="232" customWidth="1"/>
    <col min="8" max="8" width="12.7109375" style="232" customWidth="1"/>
    <col min="9" max="9" width="11.7109375" style="232" customWidth="1"/>
    <col min="10" max="10" width="10.7109375" style="125" customWidth="1"/>
    <col min="11" max="13" width="9.140625" style="125" customWidth="1"/>
    <col min="14" max="14" width="11.5703125" style="125" customWidth="1"/>
    <col min="15" max="16384" width="9.140625" style="131"/>
  </cols>
  <sheetData>
    <row r="1" spans="1:14" ht="15.75" x14ac:dyDescent="0.25">
      <c r="D1" s="231"/>
      <c r="E1" s="231"/>
      <c r="F1" s="609"/>
      <c r="G1" s="609"/>
      <c r="H1" s="610" t="s">
        <v>1011</v>
      </c>
      <c r="I1" s="610"/>
    </row>
    <row r="2" spans="1:14" ht="15.75" x14ac:dyDescent="0.25">
      <c r="D2" s="231"/>
      <c r="E2" s="231"/>
      <c r="F2" s="609"/>
      <c r="G2" s="609"/>
      <c r="H2" s="610" t="s">
        <v>1049</v>
      </c>
      <c r="I2" s="610"/>
    </row>
    <row r="3" spans="1:14" ht="15.75" x14ac:dyDescent="0.25">
      <c r="D3" s="231"/>
      <c r="E3" s="231"/>
      <c r="F3" s="593"/>
      <c r="G3" s="593"/>
      <c r="H3" s="610" t="s">
        <v>1162</v>
      </c>
      <c r="I3" s="610"/>
    </row>
    <row r="4" spans="1:14" ht="15.75" x14ac:dyDescent="0.25">
      <c r="D4" s="231"/>
      <c r="E4" s="231"/>
      <c r="F4" s="226"/>
      <c r="G4" s="222"/>
      <c r="H4" s="222"/>
      <c r="I4" s="222"/>
    </row>
    <row r="5" spans="1:14" ht="38.25" customHeight="1" x14ac:dyDescent="0.25">
      <c r="A5" s="600" t="s">
        <v>1134</v>
      </c>
      <c r="B5" s="600"/>
      <c r="C5" s="600"/>
      <c r="D5" s="600"/>
      <c r="E5" s="600"/>
      <c r="F5" s="600"/>
      <c r="G5" s="600"/>
      <c r="H5" s="600"/>
      <c r="I5" s="600"/>
    </row>
    <row r="6" spans="1:14" ht="15.75" x14ac:dyDescent="0.25">
      <c r="A6" s="33"/>
      <c r="B6" s="33"/>
      <c r="C6" s="33"/>
      <c r="D6" s="33"/>
      <c r="E6" s="35"/>
      <c r="F6" s="227"/>
      <c r="G6" s="92"/>
      <c r="H6" s="92"/>
      <c r="I6" s="92"/>
    </row>
    <row r="7" spans="1:14" x14ac:dyDescent="0.25">
      <c r="A7" s="598" t="s">
        <v>234</v>
      </c>
      <c r="B7" s="598" t="s">
        <v>983</v>
      </c>
      <c r="C7" s="598" t="s">
        <v>76</v>
      </c>
      <c r="D7" s="598" t="s">
        <v>77</v>
      </c>
      <c r="E7" s="598" t="s">
        <v>79</v>
      </c>
      <c r="F7" s="598" t="s">
        <v>984</v>
      </c>
      <c r="G7" s="601" t="s">
        <v>1127</v>
      </c>
      <c r="H7" s="601" t="s">
        <v>1128</v>
      </c>
      <c r="I7" s="601" t="s">
        <v>1129</v>
      </c>
    </row>
    <row r="8" spans="1:14" ht="37.9" customHeight="1" x14ac:dyDescent="0.25">
      <c r="A8" s="598"/>
      <c r="B8" s="598"/>
      <c r="C8" s="598"/>
      <c r="D8" s="598"/>
      <c r="E8" s="598"/>
      <c r="F8" s="598"/>
      <c r="G8" s="602"/>
      <c r="H8" s="602"/>
      <c r="I8" s="602"/>
    </row>
    <row r="9" spans="1:14" ht="31.5" x14ac:dyDescent="0.25">
      <c r="A9" s="116" t="s">
        <v>362</v>
      </c>
      <c r="B9" s="117" t="s">
        <v>321</v>
      </c>
      <c r="C9" s="247"/>
      <c r="D9" s="247"/>
      <c r="E9" s="247"/>
      <c r="F9" s="247"/>
      <c r="G9" s="221">
        <f>G10</f>
        <v>9407.197900000001</v>
      </c>
      <c r="H9" s="221">
        <f>H10</f>
        <v>8758.5134699999999</v>
      </c>
      <c r="I9" s="221">
        <f>H9/G9*100</f>
        <v>93.104382017943934</v>
      </c>
    </row>
    <row r="10" spans="1:14" ht="47.25" x14ac:dyDescent="0.25">
      <c r="A10" s="116" t="s">
        <v>338</v>
      </c>
      <c r="B10" s="117" t="s">
        <v>326</v>
      </c>
      <c r="C10" s="247"/>
      <c r="D10" s="247"/>
      <c r="E10" s="247"/>
      <c r="F10" s="247"/>
      <c r="G10" s="221">
        <f>G11+G36+G20</f>
        <v>9407.197900000001</v>
      </c>
      <c r="H10" s="221">
        <f>H11+H36+H20</f>
        <v>8758.5134699999999</v>
      </c>
      <c r="I10" s="221">
        <f t="shared" ref="I10:I73" si="0">H10/G10*100</f>
        <v>93.104382017943934</v>
      </c>
    </row>
    <row r="11" spans="1:14" ht="47.25" x14ac:dyDescent="0.25">
      <c r="A11" s="20" t="s">
        <v>143</v>
      </c>
      <c r="B11" s="218" t="s">
        <v>368</v>
      </c>
      <c r="C11" s="247"/>
      <c r="D11" s="247"/>
      <c r="E11" s="247"/>
      <c r="F11" s="247"/>
      <c r="G11" s="102">
        <f>G12</f>
        <v>7124.0557999999992</v>
      </c>
      <c r="H11" s="102">
        <f>H12</f>
        <v>6512.8899700000002</v>
      </c>
      <c r="I11" s="102">
        <f t="shared" si="0"/>
        <v>91.42109709471957</v>
      </c>
    </row>
    <row r="12" spans="1:14" s="59" customFormat="1" ht="15.75" x14ac:dyDescent="0.25">
      <c r="A12" s="215" t="s">
        <v>133</v>
      </c>
      <c r="B12" s="218" t="s">
        <v>368</v>
      </c>
      <c r="C12" s="247">
        <v>10</v>
      </c>
      <c r="D12" s="247"/>
      <c r="E12" s="247"/>
      <c r="F12" s="247"/>
      <c r="G12" s="102">
        <f>G13</f>
        <v>7124.0557999999992</v>
      </c>
      <c r="H12" s="102">
        <f>H13</f>
        <v>6512.8899700000002</v>
      </c>
      <c r="I12" s="102">
        <f t="shared" si="0"/>
        <v>91.42109709471957</v>
      </c>
      <c r="J12" s="125"/>
      <c r="K12" s="125"/>
      <c r="L12" s="125"/>
      <c r="M12" s="125"/>
      <c r="N12" s="125"/>
    </row>
    <row r="13" spans="1:14" s="59" customFormat="1" ht="34.5" customHeight="1" x14ac:dyDescent="0.25">
      <c r="A13" s="215" t="s">
        <v>142</v>
      </c>
      <c r="B13" s="218" t="s">
        <v>368</v>
      </c>
      <c r="C13" s="247">
        <v>10</v>
      </c>
      <c r="D13" s="8" t="s">
        <v>83</v>
      </c>
      <c r="E13" s="247"/>
      <c r="F13" s="247"/>
      <c r="G13" s="102">
        <f>G14+G17</f>
        <v>7124.0557999999992</v>
      </c>
      <c r="H13" s="102">
        <f>H14+H17</f>
        <v>6512.8899700000002</v>
      </c>
      <c r="I13" s="102">
        <f t="shared" si="0"/>
        <v>91.42109709471957</v>
      </c>
      <c r="J13" s="125"/>
      <c r="K13" s="125"/>
      <c r="L13" s="125"/>
      <c r="M13" s="125"/>
      <c r="N13" s="125"/>
    </row>
    <row r="14" spans="1:14" s="59" customFormat="1" ht="98.25" customHeight="1" x14ac:dyDescent="0.25">
      <c r="A14" s="215" t="s">
        <v>84</v>
      </c>
      <c r="B14" s="218" t="s">
        <v>368</v>
      </c>
      <c r="C14" s="247">
        <v>10</v>
      </c>
      <c r="D14" s="8" t="s">
        <v>83</v>
      </c>
      <c r="E14" s="247">
        <v>100</v>
      </c>
      <c r="F14" s="247"/>
      <c r="G14" s="102">
        <f>G15</f>
        <v>6557.7689999999993</v>
      </c>
      <c r="H14" s="102">
        <f>H15</f>
        <v>5948.8659699999998</v>
      </c>
      <c r="I14" s="102">
        <f t="shared" si="0"/>
        <v>90.714783793085729</v>
      </c>
      <c r="J14" s="125"/>
      <c r="K14" s="125"/>
      <c r="L14" s="125"/>
      <c r="M14" s="125"/>
      <c r="N14" s="125"/>
    </row>
    <row r="15" spans="1:14" s="59" customFormat="1" ht="31.5" x14ac:dyDescent="0.25">
      <c r="A15" s="215" t="s">
        <v>86</v>
      </c>
      <c r="B15" s="218" t="s">
        <v>368</v>
      </c>
      <c r="C15" s="247">
        <v>10</v>
      </c>
      <c r="D15" s="8" t="s">
        <v>83</v>
      </c>
      <c r="E15" s="247">
        <v>120</v>
      </c>
      <c r="F15" s="247"/>
      <c r="G15" s="102">
        <f>'Пр.4 Ведом23'!G277</f>
        <v>6557.7689999999993</v>
      </c>
      <c r="H15" s="102">
        <f>'Пр.4 Ведом23'!H277</f>
        <v>5948.8659699999998</v>
      </c>
      <c r="I15" s="102">
        <f t="shared" si="0"/>
        <v>90.714783793085729</v>
      </c>
      <c r="J15" s="125"/>
      <c r="K15" s="125"/>
      <c r="L15" s="125"/>
      <c r="M15" s="125"/>
      <c r="N15" s="125"/>
    </row>
    <row r="16" spans="1:14" s="59" customFormat="1" ht="31.5" x14ac:dyDescent="0.25">
      <c r="A16" s="19" t="s">
        <v>880</v>
      </c>
      <c r="B16" s="218" t="s">
        <v>368</v>
      </c>
      <c r="C16" s="247">
        <v>10</v>
      </c>
      <c r="D16" s="8" t="s">
        <v>83</v>
      </c>
      <c r="E16" s="247">
        <v>120</v>
      </c>
      <c r="F16" s="247">
        <v>902</v>
      </c>
      <c r="G16" s="102">
        <f>G15</f>
        <v>6557.7689999999993</v>
      </c>
      <c r="H16" s="102">
        <f>H15</f>
        <v>5948.8659699999998</v>
      </c>
      <c r="I16" s="102">
        <f t="shared" si="0"/>
        <v>90.714783793085729</v>
      </c>
      <c r="J16" s="125"/>
      <c r="K16" s="125"/>
      <c r="L16" s="125"/>
      <c r="M16" s="125"/>
      <c r="N16" s="125"/>
    </row>
    <row r="17" spans="1:14" s="59" customFormat="1" ht="31.5" x14ac:dyDescent="0.25">
      <c r="A17" s="215" t="s">
        <v>88</v>
      </c>
      <c r="B17" s="218" t="s">
        <v>368</v>
      </c>
      <c r="C17" s="247">
        <v>10</v>
      </c>
      <c r="D17" s="8" t="s">
        <v>83</v>
      </c>
      <c r="E17" s="247">
        <v>200</v>
      </c>
      <c r="F17" s="247"/>
      <c r="G17" s="102">
        <f>G18</f>
        <v>566.28679999999986</v>
      </c>
      <c r="H17" s="102">
        <f>H18</f>
        <v>564.024</v>
      </c>
      <c r="I17" s="102">
        <f t="shared" si="0"/>
        <v>99.60041448961907</v>
      </c>
      <c r="J17" s="125"/>
      <c r="K17" s="125"/>
      <c r="L17" s="125"/>
      <c r="M17" s="125"/>
      <c r="N17" s="125"/>
    </row>
    <row r="18" spans="1:14" s="59" customFormat="1" ht="47.25" x14ac:dyDescent="0.25">
      <c r="A18" s="215" t="s">
        <v>90</v>
      </c>
      <c r="B18" s="218" t="s">
        <v>368</v>
      </c>
      <c r="C18" s="247">
        <v>10</v>
      </c>
      <c r="D18" s="8" t="s">
        <v>83</v>
      </c>
      <c r="E18" s="247">
        <v>240</v>
      </c>
      <c r="F18" s="247"/>
      <c r="G18" s="102">
        <f>'Пр.4 Ведом23'!G279</f>
        <v>566.28679999999986</v>
      </c>
      <c r="H18" s="102">
        <f>'Пр.4 Ведом23'!H279</f>
        <v>564.024</v>
      </c>
      <c r="I18" s="102">
        <f t="shared" si="0"/>
        <v>99.60041448961907</v>
      </c>
      <c r="J18" s="125"/>
      <c r="K18" s="125"/>
      <c r="L18" s="125"/>
      <c r="M18" s="125"/>
      <c r="N18" s="125"/>
    </row>
    <row r="19" spans="1:14" ht="31.5" x14ac:dyDescent="0.25">
      <c r="A19" s="19" t="s">
        <v>880</v>
      </c>
      <c r="B19" s="218" t="s">
        <v>368</v>
      </c>
      <c r="C19" s="247">
        <v>10</v>
      </c>
      <c r="D19" s="8" t="s">
        <v>83</v>
      </c>
      <c r="E19" s="247">
        <v>240</v>
      </c>
      <c r="F19" s="247">
        <v>902</v>
      </c>
      <c r="G19" s="102">
        <f>G18</f>
        <v>566.28679999999986</v>
      </c>
      <c r="H19" s="102">
        <f>H18</f>
        <v>564.024</v>
      </c>
      <c r="I19" s="102">
        <f t="shared" si="0"/>
        <v>99.60041448961907</v>
      </c>
    </row>
    <row r="20" spans="1:14" ht="94.5" x14ac:dyDescent="0.25">
      <c r="A20" s="20" t="s">
        <v>550</v>
      </c>
      <c r="B20" s="218" t="s">
        <v>549</v>
      </c>
      <c r="C20" s="247"/>
      <c r="D20" s="8"/>
      <c r="E20" s="247"/>
      <c r="F20" s="247"/>
      <c r="G20" s="102">
        <f>G21</f>
        <v>60.120429999999999</v>
      </c>
      <c r="H20" s="102">
        <f>H21</f>
        <v>55.001999999999995</v>
      </c>
      <c r="I20" s="102">
        <f t="shared" si="0"/>
        <v>91.48637160446124</v>
      </c>
    </row>
    <row r="21" spans="1:14" ht="15.75" x14ac:dyDescent="0.25">
      <c r="A21" s="215" t="s">
        <v>133</v>
      </c>
      <c r="B21" s="218" t="s">
        <v>549</v>
      </c>
      <c r="C21" s="247">
        <v>10</v>
      </c>
      <c r="D21" s="8"/>
      <c r="E21" s="247"/>
      <c r="F21" s="247"/>
      <c r="G21" s="102">
        <f>G22+G29</f>
        <v>60.120429999999999</v>
      </c>
      <c r="H21" s="102">
        <f>H22+H29</f>
        <v>55.001999999999995</v>
      </c>
      <c r="I21" s="102">
        <f t="shared" si="0"/>
        <v>91.48637160446124</v>
      </c>
    </row>
    <row r="22" spans="1:14" ht="15.75" x14ac:dyDescent="0.25">
      <c r="A22" s="215" t="s">
        <v>187</v>
      </c>
      <c r="B22" s="218" t="s">
        <v>549</v>
      </c>
      <c r="C22" s="247">
        <v>10</v>
      </c>
      <c r="D22" s="8" t="s">
        <v>103</v>
      </c>
      <c r="E22" s="247"/>
      <c r="F22" s="247"/>
      <c r="G22" s="102">
        <f>G26</f>
        <v>16.600000000000001</v>
      </c>
      <c r="H22" s="102">
        <f>H26</f>
        <v>11.48157</v>
      </c>
      <c r="I22" s="102">
        <f t="shared" si="0"/>
        <v>69.166084337349389</v>
      </c>
    </row>
    <row r="23" spans="1:14" ht="94.5" hidden="1" x14ac:dyDescent="0.25">
      <c r="A23" s="215" t="s">
        <v>84</v>
      </c>
      <c r="B23" s="218" t="s">
        <v>549</v>
      </c>
      <c r="C23" s="247">
        <v>10</v>
      </c>
      <c r="D23" s="8" t="s">
        <v>103</v>
      </c>
      <c r="E23" s="247">
        <v>100</v>
      </c>
      <c r="F23" s="8"/>
      <c r="G23" s="102">
        <f>G24</f>
        <v>0</v>
      </c>
      <c r="H23" s="102">
        <f>H24</f>
        <v>0</v>
      </c>
      <c r="I23" s="102" t="e">
        <f t="shared" si="0"/>
        <v>#DIV/0!</v>
      </c>
    </row>
    <row r="24" spans="1:14" ht="31.5" hidden="1" x14ac:dyDescent="0.25">
      <c r="A24" s="215" t="s">
        <v>86</v>
      </c>
      <c r="B24" s="218" t="s">
        <v>549</v>
      </c>
      <c r="C24" s="247">
        <v>10</v>
      </c>
      <c r="D24" s="8" t="s">
        <v>103</v>
      </c>
      <c r="E24" s="247">
        <v>120</v>
      </c>
      <c r="F24" s="8"/>
      <c r="G24" s="102">
        <f>'Пр.4 Ведом23'!G706</f>
        <v>0</v>
      </c>
      <c r="H24" s="102">
        <f>'Пр.4 Ведом23'!H706</f>
        <v>0</v>
      </c>
      <c r="I24" s="102" t="e">
        <f t="shared" si="0"/>
        <v>#DIV/0!</v>
      </c>
    </row>
    <row r="25" spans="1:14" ht="47.25" hidden="1" x14ac:dyDescent="0.25">
      <c r="A25" s="215" t="s">
        <v>995</v>
      </c>
      <c r="B25" s="218" t="s">
        <v>549</v>
      </c>
      <c r="C25" s="247">
        <v>10</v>
      </c>
      <c r="D25" s="8" t="s">
        <v>103</v>
      </c>
      <c r="E25" s="247">
        <v>120</v>
      </c>
      <c r="F25" s="8" t="s">
        <v>996</v>
      </c>
      <c r="G25" s="102">
        <f>G24</f>
        <v>0</v>
      </c>
      <c r="H25" s="102">
        <f>H24</f>
        <v>0</v>
      </c>
      <c r="I25" s="102" t="e">
        <f t="shared" si="0"/>
        <v>#DIV/0!</v>
      </c>
    </row>
    <row r="26" spans="1:14" ht="31.5" x14ac:dyDescent="0.25">
      <c r="A26" s="215" t="s">
        <v>88</v>
      </c>
      <c r="B26" s="218" t="s">
        <v>549</v>
      </c>
      <c r="C26" s="247">
        <v>10</v>
      </c>
      <c r="D26" s="8" t="s">
        <v>103</v>
      </c>
      <c r="E26" s="247">
        <v>200</v>
      </c>
      <c r="F26" s="8"/>
      <c r="G26" s="102">
        <f>G27</f>
        <v>16.600000000000001</v>
      </c>
      <c r="H26" s="102">
        <f>H27</f>
        <v>11.48157</v>
      </c>
      <c r="I26" s="102">
        <f t="shared" si="0"/>
        <v>69.166084337349389</v>
      </c>
    </row>
    <row r="27" spans="1:14" ht="47.25" x14ac:dyDescent="0.25">
      <c r="A27" s="215" t="s">
        <v>90</v>
      </c>
      <c r="B27" s="218" t="s">
        <v>549</v>
      </c>
      <c r="C27" s="247">
        <v>10</v>
      </c>
      <c r="D27" s="8" t="s">
        <v>103</v>
      </c>
      <c r="E27" s="247">
        <v>240</v>
      </c>
      <c r="F27" s="8"/>
      <c r="G27" s="102">
        <f>'Пр.4 Ведом23'!G708</f>
        <v>16.600000000000001</v>
      </c>
      <c r="H27" s="102">
        <f>'Пр.4 Ведом23'!H708</f>
        <v>11.48157</v>
      </c>
      <c r="I27" s="102">
        <f t="shared" si="0"/>
        <v>69.166084337349389</v>
      </c>
    </row>
    <row r="28" spans="1:14" ht="51" customHeight="1" x14ac:dyDescent="0.25">
      <c r="A28" s="19" t="s">
        <v>995</v>
      </c>
      <c r="B28" s="218" t="s">
        <v>549</v>
      </c>
      <c r="C28" s="247">
        <v>10</v>
      </c>
      <c r="D28" s="8" t="s">
        <v>103</v>
      </c>
      <c r="E28" s="247">
        <v>240</v>
      </c>
      <c r="F28" s="8" t="s">
        <v>996</v>
      </c>
      <c r="G28" s="102">
        <f>G27</f>
        <v>16.600000000000001</v>
      </c>
      <c r="H28" s="102">
        <f>H27</f>
        <v>11.48157</v>
      </c>
      <c r="I28" s="102">
        <f t="shared" si="0"/>
        <v>69.166084337349389</v>
      </c>
    </row>
    <row r="29" spans="1:14" ht="31.5" x14ac:dyDescent="0.25">
      <c r="A29" s="215" t="s">
        <v>142</v>
      </c>
      <c r="B29" s="218" t="s">
        <v>549</v>
      </c>
      <c r="C29" s="322">
        <v>10</v>
      </c>
      <c r="D29" s="8" t="s">
        <v>83</v>
      </c>
      <c r="E29" s="322"/>
      <c r="F29" s="322"/>
      <c r="G29" s="102">
        <f>G30+G33</f>
        <v>43.520429999999998</v>
      </c>
      <c r="H29" s="102">
        <f>H30+H33</f>
        <v>43.520429999999998</v>
      </c>
      <c r="I29" s="102">
        <f t="shared" si="0"/>
        <v>100</v>
      </c>
    </row>
    <row r="30" spans="1:14" ht="82.15" customHeight="1" x14ac:dyDescent="0.25">
      <c r="A30" s="215" t="s">
        <v>84</v>
      </c>
      <c r="B30" s="218" t="s">
        <v>549</v>
      </c>
      <c r="C30" s="322">
        <v>10</v>
      </c>
      <c r="D30" s="8" t="s">
        <v>83</v>
      </c>
      <c r="E30" s="322">
        <v>100</v>
      </c>
      <c r="F30" s="322"/>
      <c r="G30" s="102">
        <f>G31</f>
        <v>40.620429999999999</v>
      </c>
      <c r="H30" s="102">
        <f>H31</f>
        <v>40.620429999999999</v>
      </c>
      <c r="I30" s="102">
        <f t="shared" si="0"/>
        <v>100</v>
      </c>
    </row>
    <row r="31" spans="1:14" ht="31.5" x14ac:dyDescent="0.25">
      <c r="A31" s="215" t="s">
        <v>86</v>
      </c>
      <c r="B31" s="218" t="s">
        <v>549</v>
      </c>
      <c r="C31" s="322">
        <v>10</v>
      </c>
      <c r="D31" s="8" t="s">
        <v>83</v>
      </c>
      <c r="E31" s="322">
        <v>120</v>
      </c>
      <c r="F31" s="322"/>
      <c r="G31" s="102">
        <f>'Пр.4 Ведом23'!G282</f>
        <v>40.620429999999999</v>
      </c>
      <c r="H31" s="102">
        <f>'Пр.4 Ведом23'!H282</f>
        <v>40.620429999999999</v>
      </c>
      <c r="I31" s="102">
        <f t="shared" si="0"/>
        <v>100</v>
      </c>
    </row>
    <row r="32" spans="1:14" ht="31.5" x14ac:dyDescent="0.25">
      <c r="A32" s="19" t="s">
        <v>880</v>
      </c>
      <c r="B32" s="218" t="s">
        <v>549</v>
      </c>
      <c r="C32" s="322">
        <v>10</v>
      </c>
      <c r="D32" s="8" t="s">
        <v>83</v>
      </c>
      <c r="E32" s="322">
        <v>120</v>
      </c>
      <c r="F32" s="322">
        <v>902</v>
      </c>
      <c r="G32" s="102">
        <f>G31</f>
        <v>40.620429999999999</v>
      </c>
      <c r="H32" s="102">
        <f>H31</f>
        <v>40.620429999999999</v>
      </c>
      <c r="I32" s="102">
        <f t="shared" si="0"/>
        <v>100</v>
      </c>
    </row>
    <row r="33" spans="1:9" ht="31.5" x14ac:dyDescent="0.25">
      <c r="A33" s="215" t="s">
        <v>88</v>
      </c>
      <c r="B33" s="218" t="s">
        <v>549</v>
      </c>
      <c r="C33" s="322">
        <v>10</v>
      </c>
      <c r="D33" s="8" t="s">
        <v>83</v>
      </c>
      <c r="E33" s="322">
        <v>200</v>
      </c>
      <c r="F33" s="322"/>
      <c r="G33" s="102">
        <f>G34</f>
        <v>2.9</v>
      </c>
      <c r="H33" s="102">
        <f>H34</f>
        <v>2.9</v>
      </c>
      <c r="I33" s="102">
        <f t="shared" si="0"/>
        <v>100</v>
      </c>
    </row>
    <row r="34" spans="1:9" ht="51" customHeight="1" x14ac:dyDescent="0.25">
      <c r="A34" s="215" t="s">
        <v>90</v>
      </c>
      <c r="B34" s="218" t="s">
        <v>549</v>
      </c>
      <c r="C34" s="322">
        <v>10</v>
      </c>
      <c r="D34" s="8" t="s">
        <v>83</v>
      </c>
      <c r="E34" s="322">
        <v>240</v>
      </c>
      <c r="F34" s="322"/>
      <c r="G34" s="102">
        <f>'Пр.4 Ведом23'!G284</f>
        <v>2.9</v>
      </c>
      <c r="H34" s="102">
        <f>'Пр.4 Ведом23'!H284</f>
        <v>2.9</v>
      </c>
      <c r="I34" s="102">
        <f t="shared" si="0"/>
        <v>100</v>
      </c>
    </row>
    <row r="35" spans="1:9" ht="31.5" x14ac:dyDescent="0.25">
      <c r="A35" s="19" t="s">
        <v>880</v>
      </c>
      <c r="B35" s="218" t="s">
        <v>549</v>
      </c>
      <c r="C35" s="322">
        <v>10</v>
      </c>
      <c r="D35" s="8" t="s">
        <v>83</v>
      </c>
      <c r="E35" s="322">
        <v>240</v>
      </c>
      <c r="F35" s="322">
        <v>902</v>
      </c>
      <c r="G35" s="102">
        <f>G34</f>
        <v>2.9</v>
      </c>
      <c r="H35" s="102">
        <f>H34</f>
        <v>2.9</v>
      </c>
      <c r="I35" s="102">
        <f t="shared" si="0"/>
        <v>100</v>
      </c>
    </row>
    <row r="36" spans="1:9" ht="63" x14ac:dyDescent="0.25">
      <c r="A36" s="215" t="s">
        <v>852</v>
      </c>
      <c r="B36" s="218" t="s">
        <v>767</v>
      </c>
      <c r="C36" s="247"/>
      <c r="D36" s="8"/>
      <c r="E36" s="247"/>
      <c r="F36" s="247"/>
      <c r="G36" s="102">
        <f>G37</f>
        <v>2223.0216700000001</v>
      </c>
      <c r="H36" s="102">
        <f>H37</f>
        <v>2190.6214999999997</v>
      </c>
      <c r="I36" s="102">
        <f t="shared" si="0"/>
        <v>98.542516681809929</v>
      </c>
    </row>
    <row r="37" spans="1:9" ht="15.75" x14ac:dyDescent="0.25">
      <c r="A37" s="215" t="s">
        <v>80</v>
      </c>
      <c r="B37" s="218" t="s">
        <v>767</v>
      </c>
      <c r="C37" s="8" t="s">
        <v>81</v>
      </c>
      <c r="D37" s="8"/>
      <c r="E37" s="247"/>
      <c r="F37" s="247"/>
      <c r="G37" s="102">
        <f>G38</f>
        <v>2223.0216700000001</v>
      </c>
      <c r="H37" s="102">
        <f>H38</f>
        <v>2190.6214999999997</v>
      </c>
      <c r="I37" s="102">
        <f t="shared" si="0"/>
        <v>98.542516681809929</v>
      </c>
    </row>
    <row r="38" spans="1:9" ht="78.75" x14ac:dyDescent="0.25">
      <c r="A38" s="215" t="s">
        <v>102</v>
      </c>
      <c r="B38" s="218" t="s">
        <v>767</v>
      </c>
      <c r="C38" s="8" t="s">
        <v>81</v>
      </c>
      <c r="D38" s="8" t="s">
        <v>103</v>
      </c>
      <c r="E38" s="247"/>
      <c r="F38" s="247"/>
      <c r="G38" s="102">
        <f>G39+G42</f>
        <v>2223.0216700000001</v>
      </c>
      <c r="H38" s="102">
        <f>H39+H42</f>
        <v>2190.6214999999997</v>
      </c>
      <c r="I38" s="102">
        <f t="shared" si="0"/>
        <v>98.542516681809929</v>
      </c>
    </row>
    <row r="39" spans="1:9" ht="94.5" x14ac:dyDescent="0.25">
      <c r="A39" s="215" t="s">
        <v>84</v>
      </c>
      <c r="B39" s="218" t="s">
        <v>767</v>
      </c>
      <c r="C39" s="8" t="s">
        <v>81</v>
      </c>
      <c r="D39" s="8" t="s">
        <v>103</v>
      </c>
      <c r="E39" s="247">
        <v>100</v>
      </c>
      <c r="F39" s="247"/>
      <c r="G39" s="102">
        <f>G40</f>
        <v>2096.5216700000001</v>
      </c>
      <c r="H39" s="102">
        <f>H40</f>
        <v>2064.12727</v>
      </c>
      <c r="I39" s="102">
        <f t="shared" si="0"/>
        <v>98.454850218648104</v>
      </c>
    </row>
    <row r="40" spans="1:9" ht="31.5" x14ac:dyDescent="0.25">
      <c r="A40" s="215" t="s">
        <v>86</v>
      </c>
      <c r="B40" s="218" t="s">
        <v>767</v>
      </c>
      <c r="C40" s="8" t="s">
        <v>81</v>
      </c>
      <c r="D40" s="8" t="s">
        <v>103</v>
      </c>
      <c r="E40" s="247">
        <v>120</v>
      </c>
      <c r="F40" s="247"/>
      <c r="G40" s="102">
        <f>'Пр.4 Ведом23'!G113</f>
        <v>2096.5216700000001</v>
      </c>
      <c r="H40" s="102">
        <f>'Пр.4 Ведом23'!H113</f>
        <v>2064.12727</v>
      </c>
      <c r="I40" s="102">
        <f t="shared" si="0"/>
        <v>98.454850218648104</v>
      </c>
    </row>
    <row r="41" spans="1:9" ht="31.5" x14ac:dyDescent="0.25">
      <c r="A41" s="19" t="s">
        <v>880</v>
      </c>
      <c r="B41" s="218" t="s">
        <v>767</v>
      </c>
      <c r="C41" s="8" t="s">
        <v>81</v>
      </c>
      <c r="D41" s="8" t="s">
        <v>103</v>
      </c>
      <c r="E41" s="247">
        <v>120</v>
      </c>
      <c r="F41" s="247">
        <v>902</v>
      </c>
      <c r="G41" s="102">
        <f>G40</f>
        <v>2096.5216700000001</v>
      </c>
      <c r="H41" s="102">
        <f>H40</f>
        <v>2064.12727</v>
      </c>
      <c r="I41" s="102">
        <f t="shared" si="0"/>
        <v>98.454850218648104</v>
      </c>
    </row>
    <row r="42" spans="1:9" ht="31.5" x14ac:dyDescent="0.25">
      <c r="A42" s="215" t="s">
        <v>88</v>
      </c>
      <c r="B42" s="218" t="s">
        <v>767</v>
      </c>
      <c r="C42" s="8" t="s">
        <v>81</v>
      </c>
      <c r="D42" s="8" t="s">
        <v>103</v>
      </c>
      <c r="E42" s="247">
        <v>200</v>
      </c>
      <c r="F42" s="247"/>
      <c r="G42" s="102">
        <f>G43</f>
        <v>126.5</v>
      </c>
      <c r="H42" s="102">
        <f>H43</f>
        <v>126.49423</v>
      </c>
      <c r="I42" s="102">
        <f t="shared" si="0"/>
        <v>99.995438735177871</v>
      </c>
    </row>
    <row r="43" spans="1:9" ht="47.25" x14ac:dyDescent="0.25">
      <c r="A43" s="215" t="s">
        <v>90</v>
      </c>
      <c r="B43" s="218" t="s">
        <v>767</v>
      </c>
      <c r="C43" s="8" t="s">
        <v>81</v>
      </c>
      <c r="D43" s="8" t="s">
        <v>103</v>
      </c>
      <c r="E43" s="247">
        <v>240</v>
      </c>
      <c r="F43" s="247"/>
      <c r="G43" s="102">
        <f>'Пр.4 Ведом23'!G115</f>
        <v>126.5</v>
      </c>
      <c r="H43" s="102">
        <f>'Пр.4 Ведом23'!H115</f>
        <v>126.49423</v>
      </c>
      <c r="I43" s="102">
        <f t="shared" si="0"/>
        <v>99.995438735177871</v>
      </c>
    </row>
    <row r="44" spans="1:9" ht="31.5" x14ac:dyDescent="0.25">
      <c r="A44" s="19" t="s">
        <v>880</v>
      </c>
      <c r="B44" s="218" t="s">
        <v>767</v>
      </c>
      <c r="C44" s="8" t="s">
        <v>81</v>
      </c>
      <c r="D44" s="8" t="s">
        <v>103</v>
      </c>
      <c r="E44" s="247">
        <v>240</v>
      </c>
      <c r="F44" s="247">
        <v>902</v>
      </c>
      <c r="G44" s="102">
        <f>G43</f>
        <v>126.5</v>
      </c>
      <c r="H44" s="102">
        <f>H43</f>
        <v>126.49423</v>
      </c>
      <c r="I44" s="102">
        <f t="shared" si="0"/>
        <v>99.995438735177871</v>
      </c>
    </row>
    <row r="45" spans="1:9" ht="15.75" x14ac:dyDescent="0.25">
      <c r="A45" s="116" t="s">
        <v>97</v>
      </c>
      <c r="B45" s="117" t="s">
        <v>329</v>
      </c>
      <c r="C45" s="8"/>
      <c r="D45" s="8"/>
      <c r="E45" s="247"/>
      <c r="F45" s="247"/>
      <c r="G45" s="221">
        <f t="shared" ref="G45:H50" si="1">G46</f>
        <v>740</v>
      </c>
      <c r="H45" s="221">
        <f t="shared" si="1"/>
        <v>738.76369999999997</v>
      </c>
      <c r="I45" s="221">
        <f t="shared" si="0"/>
        <v>99.832932432432429</v>
      </c>
    </row>
    <row r="46" spans="1:9" ht="31.5" x14ac:dyDescent="0.25">
      <c r="A46" s="116" t="s">
        <v>330</v>
      </c>
      <c r="B46" s="117" t="s">
        <v>328</v>
      </c>
      <c r="C46" s="8"/>
      <c r="D46" s="8"/>
      <c r="E46" s="247"/>
      <c r="F46" s="247"/>
      <c r="G46" s="221">
        <f t="shared" si="1"/>
        <v>740</v>
      </c>
      <c r="H46" s="221">
        <f t="shared" si="1"/>
        <v>738.76369999999997</v>
      </c>
      <c r="I46" s="221">
        <f t="shared" si="0"/>
        <v>99.832932432432429</v>
      </c>
    </row>
    <row r="47" spans="1:9" ht="16.899999999999999" customHeight="1" x14ac:dyDescent="0.25">
      <c r="A47" s="215" t="s">
        <v>194</v>
      </c>
      <c r="B47" s="218" t="s">
        <v>378</v>
      </c>
      <c r="C47" s="8"/>
      <c r="D47" s="8"/>
      <c r="E47" s="247"/>
      <c r="F47" s="247"/>
      <c r="G47" s="102">
        <f t="shared" si="1"/>
        <v>740</v>
      </c>
      <c r="H47" s="102">
        <f t="shared" si="1"/>
        <v>738.76369999999997</v>
      </c>
      <c r="I47" s="102">
        <f t="shared" si="0"/>
        <v>99.832932432432429</v>
      </c>
    </row>
    <row r="48" spans="1:9" ht="16.899999999999999" customHeight="1" x14ac:dyDescent="0.25">
      <c r="A48" s="215" t="s">
        <v>144</v>
      </c>
      <c r="B48" s="218" t="s">
        <v>378</v>
      </c>
      <c r="C48" s="8" t="s">
        <v>145</v>
      </c>
      <c r="D48" s="8"/>
      <c r="E48" s="247"/>
      <c r="F48" s="247"/>
      <c r="G48" s="102">
        <f t="shared" si="1"/>
        <v>740</v>
      </c>
      <c r="H48" s="102">
        <f t="shared" si="1"/>
        <v>738.76369999999997</v>
      </c>
      <c r="I48" s="102">
        <f t="shared" si="0"/>
        <v>99.832932432432429</v>
      </c>
    </row>
    <row r="49" spans="1:9" ht="16.899999999999999" customHeight="1" x14ac:dyDescent="0.25">
      <c r="A49" s="215" t="s">
        <v>157</v>
      </c>
      <c r="B49" s="218" t="s">
        <v>378</v>
      </c>
      <c r="C49" s="8" t="s">
        <v>145</v>
      </c>
      <c r="D49" s="8" t="s">
        <v>122</v>
      </c>
      <c r="E49" s="247"/>
      <c r="F49" s="247"/>
      <c r="G49" s="102">
        <f t="shared" si="1"/>
        <v>740</v>
      </c>
      <c r="H49" s="102">
        <f t="shared" si="1"/>
        <v>738.76369999999997</v>
      </c>
      <c r="I49" s="102">
        <f t="shared" si="0"/>
        <v>99.832932432432429</v>
      </c>
    </row>
    <row r="50" spans="1:9" ht="31.5" x14ac:dyDescent="0.25">
      <c r="A50" s="215" t="s">
        <v>88</v>
      </c>
      <c r="B50" s="218" t="s">
        <v>378</v>
      </c>
      <c r="C50" s="8" t="s">
        <v>145</v>
      </c>
      <c r="D50" s="8" t="s">
        <v>122</v>
      </c>
      <c r="E50" s="247">
        <v>200</v>
      </c>
      <c r="F50" s="247"/>
      <c r="G50" s="102">
        <f t="shared" si="1"/>
        <v>740</v>
      </c>
      <c r="H50" s="102">
        <f t="shared" si="1"/>
        <v>738.76369999999997</v>
      </c>
      <c r="I50" s="102">
        <f t="shared" si="0"/>
        <v>99.832932432432429</v>
      </c>
    </row>
    <row r="51" spans="1:9" ht="47.25" x14ac:dyDescent="0.25">
      <c r="A51" s="215" t="s">
        <v>90</v>
      </c>
      <c r="B51" s="218" t="s">
        <v>378</v>
      </c>
      <c r="C51" s="8" t="s">
        <v>145</v>
      </c>
      <c r="D51" s="8" t="s">
        <v>122</v>
      </c>
      <c r="E51" s="247">
        <v>240</v>
      </c>
      <c r="F51" s="247"/>
      <c r="G51" s="102">
        <f>'Пр.4 Ведом23'!G929</f>
        <v>740</v>
      </c>
      <c r="H51" s="102">
        <f>'Пр.4 Ведом23'!H929</f>
        <v>738.76369999999997</v>
      </c>
      <c r="I51" s="102">
        <f t="shared" si="0"/>
        <v>99.832932432432429</v>
      </c>
    </row>
    <row r="52" spans="1:9" ht="31.5" x14ac:dyDescent="0.25">
      <c r="A52" s="19" t="s">
        <v>878</v>
      </c>
      <c r="B52" s="218" t="s">
        <v>378</v>
      </c>
      <c r="C52" s="8" t="s">
        <v>145</v>
      </c>
      <c r="D52" s="8" t="s">
        <v>122</v>
      </c>
      <c r="E52" s="247">
        <v>240</v>
      </c>
      <c r="F52" s="247">
        <v>906</v>
      </c>
      <c r="G52" s="102">
        <f>G51</f>
        <v>740</v>
      </c>
      <c r="H52" s="102">
        <f>H51</f>
        <v>738.76369999999997</v>
      </c>
      <c r="I52" s="102">
        <f t="shared" si="0"/>
        <v>99.832932432432429</v>
      </c>
    </row>
    <row r="53" spans="1:9" ht="47.25" x14ac:dyDescent="0.25">
      <c r="A53" s="116" t="s">
        <v>882</v>
      </c>
      <c r="B53" s="74" t="s">
        <v>169</v>
      </c>
      <c r="C53" s="74"/>
      <c r="D53" s="74"/>
      <c r="E53" s="74"/>
      <c r="F53" s="74"/>
      <c r="G53" s="221">
        <f>G54+G93+G101</f>
        <v>2648.0254499999996</v>
      </c>
      <c r="H53" s="221">
        <f>H54+H93+H101</f>
        <v>2647.4431599999998</v>
      </c>
      <c r="I53" s="221">
        <f t="shared" si="0"/>
        <v>99.978010407717193</v>
      </c>
    </row>
    <row r="54" spans="1:9" ht="31.5" x14ac:dyDescent="0.25">
      <c r="A54" s="116" t="s">
        <v>170</v>
      </c>
      <c r="B54" s="117" t="s">
        <v>171</v>
      </c>
      <c r="C54" s="117"/>
      <c r="D54" s="4"/>
      <c r="E54" s="4"/>
      <c r="F54" s="4"/>
      <c r="G54" s="221">
        <f>G55+G76+G86</f>
        <v>1862.0594499999997</v>
      </c>
      <c r="H54" s="221">
        <f>H55+H76+H86</f>
        <v>1861.4781600000001</v>
      </c>
      <c r="I54" s="221">
        <f t="shared" si="0"/>
        <v>99.968782414546453</v>
      </c>
    </row>
    <row r="55" spans="1:9" ht="63" x14ac:dyDescent="0.25">
      <c r="A55" s="30" t="s">
        <v>454</v>
      </c>
      <c r="B55" s="117" t="s">
        <v>343</v>
      </c>
      <c r="C55" s="117"/>
      <c r="D55" s="4"/>
      <c r="E55" s="4"/>
      <c r="F55" s="4"/>
      <c r="G55" s="221">
        <f>G56</f>
        <v>1419.4672499999999</v>
      </c>
      <c r="H55" s="221">
        <f>H56</f>
        <v>1418.8859600000001</v>
      </c>
      <c r="I55" s="221">
        <f t="shared" si="0"/>
        <v>99.959048720567537</v>
      </c>
    </row>
    <row r="56" spans="1:9" ht="15.75" x14ac:dyDescent="0.25">
      <c r="A56" s="215" t="s">
        <v>144</v>
      </c>
      <c r="B56" s="218" t="s">
        <v>343</v>
      </c>
      <c r="C56" s="218" t="s">
        <v>145</v>
      </c>
      <c r="D56" s="4"/>
      <c r="E56" s="4"/>
      <c r="F56" s="4"/>
      <c r="G56" s="102">
        <f>G57</f>
        <v>1419.4672499999999</v>
      </c>
      <c r="H56" s="102">
        <f>H57</f>
        <v>1418.8859600000001</v>
      </c>
      <c r="I56" s="102">
        <f t="shared" si="0"/>
        <v>99.959048720567537</v>
      </c>
    </row>
    <row r="57" spans="1:9" ht="15.75" x14ac:dyDescent="0.25">
      <c r="A57" s="26" t="s">
        <v>1010</v>
      </c>
      <c r="B57" s="218" t="s">
        <v>343</v>
      </c>
      <c r="C57" s="218" t="s">
        <v>145</v>
      </c>
      <c r="D57" s="8" t="s">
        <v>145</v>
      </c>
      <c r="E57" s="4"/>
      <c r="F57" s="4"/>
      <c r="G57" s="102">
        <f>G66+G70</f>
        <v>1419.4672499999999</v>
      </c>
      <c r="H57" s="102">
        <f>H66+H70</f>
        <v>1418.8859600000001</v>
      </c>
      <c r="I57" s="102">
        <f t="shared" si="0"/>
        <v>99.959048720567537</v>
      </c>
    </row>
    <row r="58" spans="1:9" ht="31.5" hidden="1" x14ac:dyDescent="0.25">
      <c r="A58" s="26" t="s">
        <v>460</v>
      </c>
      <c r="B58" s="218" t="s">
        <v>344</v>
      </c>
      <c r="C58" s="218" t="s">
        <v>145</v>
      </c>
      <c r="D58" s="8" t="s">
        <v>145</v>
      </c>
      <c r="E58" s="4"/>
      <c r="F58" s="4"/>
      <c r="G58" s="102">
        <f>G59</f>
        <v>0</v>
      </c>
      <c r="H58" s="102">
        <f>H59</f>
        <v>0</v>
      </c>
      <c r="I58" s="102" t="e">
        <f t="shared" si="0"/>
        <v>#DIV/0!</v>
      </c>
    </row>
    <row r="59" spans="1:9" ht="94.5" hidden="1" x14ac:dyDescent="0.25">
      <c r="A59" s="215" t="s">
        <v>84</v>
      </c>
      <c r="B59" s="218" t="s">
        <v>344</v>
      </c>
      <c r="C59" s="218" t="s">
        <v>145</v>
      </c>
      <c r="D59" s="8" t="s">
        <v>145</v>
      </c>
      <c r="E59" s="4">
        <v>100</v>
      </c>
      <c r="F59" s="4"/>
      <c r="G59" s="102">
        <f>G60</f>
        <v>0</v>
      </c>
      <c r="H59" s="102">
        <f>H60</f>
        <v>0</v>
      </c>
      <c r="I59" s="102" t="e">
        <f t="shared" si="0"/>
        <v>#DIV/0!</v>
      </c>
    </row>
    <row r="60" spans="1:9" ht="31.5" hidden="1" x14ac:dyDescent="0.25">
      <c r="A60" s="215" t="s">
        <v>168</v>
      </c>
      <c r="B60" s="218" t="s">
        <v>344</v>
      </c>
      <c r="C60" s="218" t="s">
        <v>145</v>
      </c>
      <c r="D60" s="8" t="s">
        <v>145</v>
      </c>
      <c r="E60" s="4">
        <v>110</v>
      </c>
      <c r="F60" s="4"/>
      <c r="G60" s="102">
        <f>'Пр.4 Ведом23'!G414</f>
        <v>0</v>
      </c>
      <c r="H60" s="102">
        <f>'Пр.4 Ведом23'!H414</f>
        <v>0</v>
      </c>
      <c r="I60" s="102" t="e">
        <f t="shared" si="0"/>
        <v>#DIV/0!</v>
      </c>
    </row>
    <row r="61" spans="1:9" ht="47.25" hidden="1" x14ac:dyDescent="0.25">
      <c r="A61" s="26" t="s">
        <v>876</v>
      </c>
      <c r="B61" s="218" t="s">
        <v>344</v>
      </c>
      <c r="C61" s="218" t="s">
        <v>145</v>
      </c>
      <c r="D61" s="8" t="s">
        <v>145</v>
      </c>
      <c r="E61" s="4">
        <v>110</v>
      </c>
      <c r="F61" s="4">
        <v>903</v>
      </c>
      <c r="G61" s="102">
        <f>G60</f>
        <v>0</v>
      </c>
      <c r="H61" s="102">
        <f>H60</f>
        <v>0</v>
      </c>
      <c r="I61" s="102" t="e">
        <f t="shared" si="0"/>
        <v>#DIV/0!</v>
      </c>
    </row>
    <row r="62" spans="1:9" ht="31.5" hidden="1" x14ac:dyDescent="0.25">
      <c r="A62" s="215" t="s">
        <v>455</v>
      </c>
      <c r="B62" s="218" t="s">
        <v>469</v>
      </c>
      <c r="C62" s="218" t="s">
        <v>145</v>
      </c>
      <c r="D62" s="8" t="s">
        <v>145</v>
      </c>
      <c r="E62" s="4"/>
      <c r="F62" s="4"/>
      <c r="G62" s="102">
        <f>G63</f>
        <v>0</v>
      </c>
      <c r="H62" s="102">
        <f>H63</f>
        <v>0</v>
      </c>
      <c r="I62" s="102" t="e">
        <f t="shared" si="0"/>
        <v>#DIV/0!</v>
      </c>
    </row>
    <row r="63" spans="1:9" ht="31.5" hidden="1" x14ac:dyDescent="0.25">
      <c r="A63" s="215" t="s">
        <v>88</v>
      </c>
      <c r="B63" s="218" t="s">
        <v>469</v>
      </c>
      <c r="C63" s="218" t="s">
        <v>145</v>
      </c>
      <c r="D63" s="8" t="s">
        <v>145</v>
      </c>
      <c r="E63" s="4">
        <v>200</v>
      </c>
      <c r="F63" s="4"/>
      <c r="G63" s="102">
        <f>G64</f>
        <v>0</v>
      </c>
      <c r="H63" s="102">
        <f>H64</f>
        <v>0</v>
      </c>
      <c r="I63" s="102" t="e">
        <f t="shared" si="0"/>
        <v>#DIV/0!</v>
      </c>
    </row>
    <row r="64" spans="1:9" ht="47.25" hidden="1" x14ac:dyDescent="0.25">
      <c r="A64" s="215" t="s">
        <v>90</v>
      </c>
      <c r="B64" s="218" t="s">
        <v>469</v>
      </c>
      <c r="C64" s="218" t="s">
        <v>145</v>
      </c>
      <c r="D64" s="8" t="s">
        <v>145</v>
      </c>
      <c r="E64" s="4">
        <v>240</v>
      </c>
      <c r="F64" s="4"/>
      <c r="G64" s="102">
        <f>'Пр.4 Ведом23'!G417</f>
        <v>0</v>
      </c>
      <c r="H64" s="102">
        <f>'Пр.4 Ведом23'!H417</f>
        <v>0</v>
      </c>
      <c r="I64" s="102" t="e">
        <f t="shared" si="0"/>
        <v>#DIV/0!</v>
      </c>
    </row>
    <row r="65" spans="1:9" ht="47.25" hidden="1" x14ac:dyDescent="0.25">
      <c r="A65" s="26" t="s">
        <v>876</v>
      </c>
      <c r="B65" s="218" t="s">
        <v>469</v>
      </c>
      <c r="C65" s="218" t="s">
        <v>145</v>
      </c>
      <c r="D65" s="8" t="s">
        <v>145</v>
      </c>
      <c r="E65" s="4">
        <v>240</v>
      </c>
      <c r="F65" s="4">
        <v>903</v>
      </c>
      <c r="G65" s="102">
        <f>G64</f>
        <v>0</v>
      </c>
      <c r="H65" s="102">
        <f>H64</f>
        <v>0</v>
      </c>
      <c r="I65" s="102" t="e">
        <f t="shared" si="0"/>
        <v>#DIV/0!</v>
      </c>
    </row>
    <row r="66" spans="1:9" ht="31.5" x14ac:dyDescent="0.25">
      <c r="A66" s="267" t="s">
        <v>460</v>
      </c>
      <c r="B66" s="268" t="s">
        <v>344</v>
      </c>
      <c r="C66" s="218" t="s">
        <v>145</v>
      </c>
      <c r="D66" s="8" t="s">
        <v>145</v>
      </c>
      <c r="E66" s="309"/>
      <c r="F66" s="309"/>
      <c r="G66" s="102">
        <f>G67</f>
        <v>21.398849999999996</v>
      </c>
      <c r="H66" s="102">
        <f>H67</f>
        <v>21.398849999999999</v>
      </c>
      <c r="I66" s="102">
        <f t="shared" si="0"/>
        <v>100.00000000000003</v>
      </c>
    </row>
    <row r="67" spans="1:9" ht="94.5" x14ac:dyDescent="0.25">
      <c r="A67" s="267" t="s">
        <v>84</v>
      </c>
      <c r="B67" s="268" t="s">
        <v>344</v>
      </c>
      <c r="C67" s="218" t="s">
        <v>145</v>
      </c>
      <c r="D67" s="8" t="s">
        <v>145</v>
      </c>
      <c r="E67" s="309">
        <v>100</v>
      </c>
      <c r="F67" s="309"/>
      <c r="G67" s="102">
        <f>G68</f>
        <v>21.398849999999996</v>
      </c>
      <c r="H67" s="102">
        <f>H68</f>
        <v>21.398849999999999</v>
      </c>
      <c r="I67" s="102">
        <f t="shared" si="0"/>
        <v>100.00000000000003</v>
      </c>
    </row>
    <row r="68" spans="1:9" ht="31.5" x14ac:dyDescent="0.25">
      <c r="A68" s="272" t="s">
        <v>168</v>
      </c>
      <c r="B68" s="268" t="s">
        <v>344</v>
      </c>
      <c r="C68" s="218" t="s">
        <v>145</v>
      </c>
      <c r="D68" s="8" t="s">
        <v>145</v>
      </c>
      <c r="E68" s="309">
        <v>110</v>
      </c>
      <c r="F68" s="309"/>
      <c r="G68" s="102">
        <f>'Пр.4 Ведом23'!G1385</f>
        <v>21.398849999999996</v>
      </c>
      <c r="H68" s="102">
        <f>'Пр.4 Ведом23'!H1385</f>
        <v>21.398849999999999</v>
      </c>
      <c r="I68" s="102">
        <f t="shared" si="0"/>
        <v>100.00000000000003</v>
      </c>
    </row>
    <row r="69" spans="1:9" ht="47.25" x14ac:dyDescent="0.25">
      <c r="A69" s="274" t="s">
        <v>1003</v>
      </c>
      <c r="B69" s="268" t="s">
        <v>344</v>
      </c>
      <c r="C69" s="218" t="s">
        <v>145</v>
      </c>
      <c r="D69" s="8" t="s">
        <v>145</v>
      </c>
      <c r="E69" s="309">
        <v>110</v>
      </c>
      <c r="F69" s="309">
        <v>903</v>
      </c>
      <c r="G69" s="102">
        <f>G68</f>
        <v>21.398849999999996</v>
      </c>
      <c r="H69" s="102">
        <f>H68</f>
        <v>21.398849999999999</v>
      </c>
      <c r="I69" s="102">
        <f t="shared" si="0"/>
        <v>100.00000000000003</v>
      </c>
    </row>
    <row r="70" spans="1:9" ht="47.25" x14ac:dyDescent="0.25">
      <c r="A70" s="215" t="s">
        <v>821</v>
      </c>
      <c r="B70" s="218" t="s">
        <v>822</v>
      </c>
      <c r="C70" s="218" t="s">
        <v>145</v>
      </c>
      <c r="D70" s="8" t="s">
        <v>145</v>
      </c>
      <c r="E70" s="4"/>
      <c r="F70" s="4"/>
      <c r="G70" s="102">
        <f>G71</f>
        <v>1398.0683999999999</v>
      </c>
      <c r="H70" s="102">
        <f>H71</f>
        <v>1397.48711</v>
      </c>
      <c r="I70" s="102">
        <f t="shared" si="0"/>
        <v>99.958421919843133</v>
      </c>
    </row>
    <row r="71" spans="1:9" ht="47.25" x14ac:dyDescent="0.25">
      <c r="A71" s="215" t="s">
        <v>149</v>
      </c>
      <c r="B71" s="218" t="s">
        <v>822</v>
      </c>
      <c r="C71" s="218" t="s">
        <v>145</v>
      </c>
      <c r="D71" s="8" t="s">
        <v>145</v>
      </c>
      <c r="E71" s="4">
        <v>600</v>
      </c>
      <c r="F71" s="4"/>
      <c r="G71" s="102">
        <f>G72</f>
        <v>1398.0683999999999</v>
      </c>
      <c r="H71" s="102">
        <f>H72</f>
        <v>1397.48711</v>
      </c>
      <c r="I71" s="102">
        <f t="shared" si="0"/>
        <v>99.958421919843133</v>
      </c>
    </row>
    <row r="72" spans="1:9" ht="15.75" x14ac:dyDescent="0.25">
      <c r="A72" s="215" t="s">
        <v>151</v>
      </c>
      <c r="B72" s="218" t="s">
        <v>822</v>
      </c>
      <c r="C72" s="218" t="s">
        <v>145</v>
      </c>
      <c r="D72" s="8" t="s">
        <v>145</v>
      </c>
      <c r="E72" s="4">
        <v>610</v>
      </c>
      <c r="F72" s="4"/>
      <c r="G72" s="102">
        <f>G73+G74+G75</f>
        <v>1398.0683999999999</v>
      </c>
      <c r="H72" s="102">
        <f>H73+H74+H75</f>
        <v>1397.48711</v>
      </c>
      <c r="I72" s="102">
        <f t="shared" si="0"/>
        <v>99.958421919843133</v>
      </c>
    </row>
    <row r="73" spans="1:9" ht="47.25" x14ac:dyDescent="0.25">
      <c r="A73" s="26" t="s">
        <v>876</v>
      </c>
      <c r="B73" s="218" t="s">
        <v>822</v>
      </c>
      <c r="C73" s="218" t="s">
        <v>145</v>
      </c>
      <c r="D73" s="8" t="s">
        <v>145</v>
      </c>
      <c r="E73" s="4">
        <v>610</v>
      </c>
      <c r="F73" s="4">
        <v>903</v>
      </c>
      <c r="G73" s="102">
        <f>'Пр.4 Ведом23'!G420</f>
        <v>939.52377999999999</v>
      </c>
      <c r="H73" s="102">
        <f>'Пр.4 Ведом23'!H420</f>
        <v>939.52377999999999</v>
      </c>
      <c r="I73" s="102">
        <f t="shared" si="0"/>
        <v>100</v>
      </c>
    </row>
    <row r="74" spans="1:9" ht="31.5" x14ac:dyDescent="0.25">
      <c r="A74" s="19" t="s">
        <v>878</v>
      </c>
      <c r="B74" s="218" t="s">
        <v>822</v>
      </c>
      <c r="C74" s="218" t="s">
        <v>145</v>
      </c>
      <c r="D74" s="8" t="s">
        <v>145</v>
      </c>
      <c r="E74" s="309">
        <v>610</v>
      </c>
      <c r="F74" s="309">
        <v>906</v>
      </c>
      <c r="G74" s="102">
        <f>'Пр.4 Ведом23'!G883</f>
        <v>200.11673000000002</v>
      </c>
      <c r="H74" s="102">
        <f>'Пр.4 Ведом23'!H883</f>
        <v>199.53543999999999</v>
      </c>
      <c r="I74" s="102">
        <f t="shared" ref="I74:I137" si="2">H74/G74*100</f>
        <v>99.709524536004551</v>
      </c>
    </row>
    <row r="75" spans="1:9" ht="31.5" x14ac:dyDescent="0.25">
      <c r="A75" s="68" t="s">
        <v>889</v>
      </c>
      <c r="B75" s="218" t="s">
        <v>822</v>
      </c>
      <c r="C75" s="218" t="s">
        <v>145</v>
      </c>
      <c r="D75" s="8" t="s">
        <v>145</v>
      </c>
      <c r="E75" s="309">
        <v>610</v>
      </c>
      <c r="F75" s="309">
        <v>907</v>
      </c>
      <c r="G75" s="102">
        <f>'Пр.4 Ведом23'!G960</f>
        <v>258.42788999999999</v>
      </c>
      <c r="H75" s="102">
        <f>'Пр.4 Ведом23'!H960</f>
        <v>258.42788999999999</v>
      </c>
      <c r="I75" s="102">
        <f t="shared" si="2"/>
        <v>100</v>
      </c>
    </row>
    <row r="76" spans="1:9" ht="78.75" x14ac:dyDescent="0.25">
      <c r="A76" s="116" t="s">
        <v>456</v>
      </c>
      <c r="B76" s="117" t="s">
        <v>345</v>
      </c>
      <c r="C76" s="117"/>
      <c r="D76" s="4"/>
      <c r="E76" s="4"/>
      <c r="F76" s="4"/>
      <c r="G76" s="221">
        <f t="shared" ref="G76:H78" si="3">G77</f>
        <v>417.59219999999993</v>
      </c>
      <c r="H76" s="221">
        <f t="shared" si="3"/>
        <v>417.59219999999999</v>
      </c>
      <c r="I76" s="221">
        <f t="shared" si="2"/>
        <v>100.00000000000003</v>
      </c>
    </row>
    <row r="77" spans="1:9" ht="15.75" x14ac:dyDescent="0.25">
      <c r="A77" s="215" t="s">
        <v>144</v>
      </c>
      <c r="B77" s="218" t="s">
        <v>345</v>
      </c>
      <c r="C77" s="218" t="s">
        <v>145</v>
      </c>
      <c r="D77" s="8"/>
      <c r="E77" s="4"/>
      <c r="F77" s="4"/>
      <c r="G77" s="102">
        <f t="shared" si="3"/>
        <v>417.59219999999993</v>
      </c>
      <c r="H77" s="102">
        <f t="shared" si="3"/>
        <v>417.59219999999999</v>
      </c>
      <c r="I77" s="102">
        <f t="shared" si="2"/>
        <v>100.00000000000003</v>
      </c>
    </row>
    <row r="78" spans="1:9" ht="15.75" x14ac:dyDescent="0.25">
      <c r="A78" s="26" t="s">
        <v>1009</v>
      </c>
      <c r="B78" s="218" t="s">
        <v>345</v>
      </c>
      <c r="C78" s="218" t="s">
        <v>145</v>
      </c>
      <c r="D78" s="8" t="s">
        <v>145</v>
      </c>
      <c r="E78" s="4"/>
      <c r="F78" s="4"/>
      <c r="G78" s="102">
        <f t="shared" si="3"/>
        <v>417.59219999999993</v>
      </c>
      <c r="H78" s="102">
        <f t="shared" si="3"/>
        <v>417.59219999999999</v>
      </c>
      <c r="I78" s="102">
        <f t="shared" si="2"/>
        <v>100.00000000000003</v>
      </c>
    </row>
    <row r="79" spans="1:9" ht="31.5" x14ac:dyDescent="0.25">
      <c r="A79" s="215" t="s">
        <v>457</v>
      </c>
      <c r="B79" s="218" t="s">
        <v>350</v>
      </c>
      <c r="C79" s="218" t="s">
        <v>145</v>
      </c>
      <c r="D79" s="8" t="s">
        <v>145</v>
      </c>
      <c r="E79" s="4"/>
      <c r="F79" s="4"/>
      <c r="G79" s="102">
        <f>G80+G83</f>
        <v>417.59219999999993</v>
      </c>
      <c r="H79" s="102">
        <f>H80+H83</f>
        <v>417.59219999999999</v>
      </c>
      <c r="I79" s="102">
        <f t="shared" si="2"/>
        <v>100.00000000000003</v>
      </c>
    </row>
    <row r="80" spans="1:9" ht="94.5" hidden="1" x14ac:dyDescent="0.25">
      <c r="A80" s="215" t="s">
        <v>84</v>
      </c>
      <c r="B80" s="218" t="s">
        <v>350</v>
      </c>
      <c r="C80" s="218" t="s">
        <v>145</v>
      </c>
      <c r="D80" s="8" t="s">
        <v>145</v>
      </c>
      <c r="E80" s="4">
        <v>100</v>
      </c>
      <c r="F80" s="4"/>
      <c r="G80" s="102">
        <f>G81</f>
        <v>48.75</v>
      </c>
      <c r="H80" s="102">
        <f>H81</f>
        <v>48.75</v>
      </c>
      <c r="I80" s="102">
        <f t="shared" si="2"/>
        <v>100</v>
      </c>
    </row>
    <row r="81" spans="1:9" ht="31.5" hidden="1" x14ac:dyDescent="0.25">
      <c r="A81" s="215" t="s">
        <v>168</v>
      </c>
      <c r="B81" s="218" t="s">
        <v>350</v>
      </c>
      <c r="C81" s="218" t="s">
        <v>145</v>
      </c>
      <c r="D81" s="8" t="s">
        <v>145</v>
      </c>
      <c r="E81" s="4">
        <v>110</v>
      </c>
      <c r="F81" s="4"/>
      <c r="G81" s="102">
        <f>'Пр.4 Ведом23'!G424</f>
        <v>48.75</v>
      </c>
      <c r="H81" s="102">
        <f>'Пр.4 Ведом23'!H424</f>
        <v>48.75</v>
      </c>
      <c r="I81" s="102">
        <f t="shared" si="2"/>
        <v>100</v>
      </c>
    </row>
    <row r="82" spans="1:9" ht="47.25" hidden="1" x14ac:dyDescent="0.25">
      <c r="A82" s="26" t="s">
        <v>876</v>
      </c>
      <c r="B82" s="218" t="s">
        <v>350</v>
      </c>
      <c r="C82" s="218" t="s">
        <v>145</v>
      </c>
      <c r="D82" s="8" t="s">
        <v>145</v>
      </c>
      <c r="E82" s="4">
        <v>110</v>
      </c>
      <c r="F82" s="4">
        <v>903</v>
      </c>
      <c r="G82" s="102">
        <f>G81</f>
        <v>48.75</v>
      </c>
      <c r="H82" s="102">
        <f>H81</f>
        <v>48.75</v>
      </c>
      <c r="I82" s="102">
        <f t="shared" si="2"/>
        <v>100</v>
      </c>
    </row>
    <row r="83" spans="1:9" ht="31.5" x14ac:dyDescent="0.25">
      <c r="A83" s="215" t="s">
        <v>88</v>
      </c>
      <c r="B83" s="218" t="s">
        <v>350</v>
      </c>
      <c r="C83" s="218" t="s">
        <v>145</v>
      </c>
      <c r="D83" s="8" t="s">
        <v>145</v>
      </c>
      <c r="E83" s="4">
        <v>200</v>
      </c>
      <c r="F83" s="4"/>
      <c r="G83" s="102">
        <f>G84</f>
        <v>368.84219999999993</v>
      </c>
      <c r="H83" s="102">
        <f>H84</f>
        <v>368.84219999999999</v>
      </c>
      <c r="I83" s="102">
        <f t="shared" si="2"/>
        <v>100.00000000000003</v>
      </c>
    </row>
    <row r="84" spans="1:9" ht="47.25" x14ac:dyDescent="0.25">
      <c r="A84" s="215" t="s">
        <v>90</v>
      </c>
      <c r="B84" s="218" t="s">
        <v>350</v>
      </c>
      <c r="C84" s="218" t="s">
        <v>145</v>
      </c>
      <c r="D84" s="8" t="s">
        <v>145</v>
      </c>
      <c r="E84" s="4">
        <v>240</v>
      </c>
      <c r="F84" s="4"/>
      <c r="G84" s="102">
        <f>'Пр.4 Ведом23'!G426</f>
        <v>368.84219999999993</v>
      </c>
      <c r="H84" s="102">
        <f>'Пр.4 Ведом23'!H426</f>
        <v>368.84219999999999</v>
      </c>
      <c r="I84" s="102">
        <f t="shared" si="2"/>
        <v>100.00000000000003</v>
      </c>
    </row>
    <row r="85" spans="1:9" ht="47.25" x14ac:dyDescent="0.25">
      <c r="A85" s="26" t="s">
        <v>876</v>
      </c>
      <c r="B85" s="218" t="s">
        <v>350</v>
      </c>
      <c r="C85" s="218" t="s">
        <v>145</v>
      </c>
      <c r="D85" s="8" t="s">
        <v>145</v>
      </c>
      <c r="E85" s="4">
        <v>240</v>
      </c>
      <c r="F85" s="4">
        <v>903</v>
      </c>
      <c r="G85" s="102">
        <f>G84</f>
        <v>368.84219999999993</v>
      </c>
      <c r="H85" s="102">
        <f>H84</f>
        <v>368.84219999999999</v>
      </c>
      <c r="I85" s="102">
        <f t="shared" si="2"/>
        <v>100.00000000000003</v>
      </c>
    </row>
    <row r="86" spans="1:9" ht="47.25" x14ac:dyDescent="0.25">
      <c r="A86" s="116" t="s">
        <v>462</v>
      </c>
      <c r="B86" s="117" t="s">
        <v>458</v>
      </c>
      <c r="C86" s="117"/>
      <c r="D86" s="4"/>
      <c r="E86" s="4"/>
      <c r="F86" s="4"/>
      <c r="G86" s="221">
        <f t="shared" ref="G86:H90" si="4">G87</f>
        <v>25</v>
      </c>
      <c r="H86" s="221">
        <f t="shared" si="4"/>
        <v>25</v>
      </c>
      <c r="I86" s="221">
        <f t="shared" si="2"/>
        <v>100</v>
      </c>
    </row>
    <row r="87" spans="1:9" ht="15.75" x14ac:dyDescent="0.25">
      <c r="A87" s="215" t="s">
        <v>144</v>
      </c>
      <c r="B87" s="218" t="s">
        <v>458</v>
      </c>
      <c r="C87" s="117"/>
      <c r="D87" s="4"/>
      <c r="E87" s="4"/>
      <c r="F87" s="4"/>
      <c r="G87" s="102">
        <f t="shared" si="4"/>
        <v>25</v>
      </c>
      <c r="H87" s="102">
        <f t="shared" si="4"/>
        <v>25</v>
      </c>
      <c r="I87" s="102">
        <f t="shared" si="2"/>
        <v>100</v>
      </c>
    </row>
    <row r="88" spans="1:9" ht="15.75" x14ac:dyDescent="0.25">
      <c r="A88" s="26" t="s">
        <v>1009</v>
      </c>
      <c r="B88" s="218" t="s">
        <v>458</v>
      </c>
      <c r="C88" s="117"/>
      <c r="D88" s="4"/>
      <c r="E88" s="4"/>
      <c r="F88" s="4"/>
      <c r="G88" s="102">
        <f t="shared" si="4"/>
        <v>25</v>
      </c>
      <c r="H88" s="102">
        <f t="shared" si="4"/>
        <v>25</v>
      </c>
      <c r="I88" s="102">
        <f t="shared" si="2"/>
        <v>100</v>
      </c>
    </row>
    <row r="89" spans="1:9" ht="47.25" x14ac:dyDescent="0.25">
      <c r="A89" s="224" t="s">
        <v>459</v>
      </c>
      <c r="B89" s="218" t="s">
        <v>470</v>
      </c>
      <c r="C89" s="218" t="s">
        <v>145</v>
      </c>
      <c r="D89" s="8" t="s">
        <v>145</v>
      </c>
      <c r="E89" s="4"/>
      <c r="F89" s="4"/>
      <c r="G89" s="102">
        <f t="shared" si="4"/>
        <v>25</v>
      </c>
      <c r="H89" s="102">
        <f t="shared" si="4"/>
        <v>25</v>
      </c>
      <c r="I89" s="102">
        <f t="shared" si="2"/>
        <v>100</v>
      </c>
    </row>
    <row r="90" spans="1:9" ht="31.5" x14ac:dyDescent="0.25">
      <c r="A90" s="215" t="s">
        <v>137</v>
      </c>
      <c r="B90" s="218" t="s">
        <v>470</v>
      </c>
      <c r="C90" s="218" t="s">
        <v>145</v>
      </c>
      <c r="D90" s="8" t="s">
        <v>145</v>
      </c>
      <c r="E90" s="4">
        <v>300</v>
      </c>
      <c r="F90" s="4"/>
      <c r="G90" s="102">
        <f t="shared" si="4"/>
        <v>25</v>
      </c>
      <c r="H90" s="102">
        <f t="shared" si="4"/>
        <v>25</v>
      </c>
      <c r="I90" s="102">
        <f t="shared" si="2"/>
        <v>100</v>
      </c>
    </row>
    <row r="91" spans="1:9" ht="31.5" x14ac:dyDescent="0.25">
      <c r="A91" s="215" t="s">
        <v>139</v>
      </c>
      <c r="B91" s="218" t="s">
        <v>470</v>
      </c>
      <c r="C91" s="218" t="s">
        <v>145</v>
      </c>
      <c r="D91" s="8" t="s">
        <v>145</v>
      </c>
      <c r="E91" s="4">
        <v>320</v>
      </c>
      <c r="F91" s="4"/>
      <c r="G91" s="102">
        <f>'Пр.4 Ведом23'!G430</f>
        <v>25</v>
      </c>
      <c r="H91" s="102">
        <f>'Пр.4 Ведом23'!H430</f>
        <v>25</v>
      </c>
      <c r="I91" s="102">
        <f t="shared" si="2"/>
        <v>100</v>
      </c>
    </row>
    <row r="92" spans="1:9" ht="47.25" x14ac:dyDescent="0.25">
      <c r="A92" s="26" t="s">
        <v>876</v>
      </c>
      <c r="B92" s="218" t="s">
        <v>470</v>
      </c>
      <c r="C92" s="218" t="s">
        <v>145</v>
      </c>
      <c r="D92" s="8" t="s">
        <v>145</v>
      </c>
      <c r="E92" s="4">
        <v>320</v>
      </c>
      <c r="F92" s="4">
        <v>903</v>
      </c>
      <c r="G92" s="102">
        <f>G91</f>
        <v>25</v>
      </c>
      <c r="H92" s="102">
        <f>H91</f>
        <v>25</v>
      </c>
      <c r="I92" s="102">
        <f t="shared" si="2"/>
        <v>100</v>
      </c>
    </row>
    <row r="93" spans="1:9" ht="31.5" x14ac:dyDescent="0.25">
      <c r="A93" s="116" t="s">
        <v>174</v>
      </c>
      <c r="B93" s="117" t="s">
        <v>175</v>
      </c>
      <c r="C93" s="117"/>
      <c r="D93" s="238"/>
      <c r="E93" s="238"/>
      <c r="F93" s="238"/>
      <c r="G93" s="221">
        <f t="shared" ref="G93:H98" si="5">G94</f>
        <v>169.05099999999999</v>
      </c>
      <c r="H93" s="221">
        <f t="shared" si="5"/>
        <v>169.05</v>
      </c>
      <c r="I93" s="221">
        <f t="shared" si="2"/>
        <v>99.999408462534987</v>
      </c>
    </row>
    <row r="94" spans="1:9" ht="31.5" x14ac:dyDescent="0.25">
      <c r="A94" s="116" t="s">
        <v>353</v>
      </c>
      <c r="B94" s="117" t="s">
        <v>352</v>
      </c>
      <c r="C94" s="117"/>
      <c r="D94" s="238"/>
      <c r="E94" s="238"/>
      <c r="F94" s="238"/>
      <c r="G94" s="221">
        <f t="shared" si="5"/>
        <v>169.05099999999999</v>
      </c>
      <c r="H94" s="221">
        <f t="shared" si="5"/>
        <v>169.05</v>
      </c>
      <c r="I94" s="221">
        <f t="shared" si="2"/>
        <v>99.999408462534987</v>
      </c>
    </row>
    <row r="95" spans="1:9" ht="15.75" x14ac:dyDescent="0.25">
      <c r="A95" s="215" t="s">
        <v>133</v>
      </c>
      <c r="B95" s="218" t="s">
        <v>352</v>
      </c>
      <c r="C95" s="218" t="s">
        <v>134</v>
      </c>
      <c r="D95" s="238"/>
      <c r="E95" s="238"/>
      <c r="F95" s="238"/>
      <c r="G95" s="102">
        <f t="shared" si="5"/>
        <v>169.05099999999999</v>
      </c>
      <c r="H95" s="102">
        <f t="shared" si="5"/>
        <v>169.05</v>
      </c>
      <c r="I95" s="102">
        <f t="shared" si="2"/>
        <v>99.999408462534987</v>
      </c>
    </row>
    <row r="96" spans="1:9" ht="15.75" x14ac:dyDescent="0.25">
      <c r="A96" s="215" t="s">
        <v>141</v>
      </c>
      <c r="B96" s="218" t="s">
        <v>352</v>
      </c>
      <c r="C96" s="218" t="s">
        <v>134</v>
      </c>
      <c r="D96" s="8" t="s">
        <v>120</v>
      </c>
      <c r="E96" s="238"/>
      <c r="F96" s="238"/>
      <c r="G96" s="102">
        <f t="shared" si="5"/>
        <v>169.05099999999999</v>
      </c>
      <c r="H96" s="102">
        <f t="shared" si="5"/>
        <v>169.05</v>
      </c>
      <c r="I96" s="102">
        <f t="shared" si="2"/>
        <v>99.999408462534987</v>
      </c>
    </row>
    <row r="97" spans="1:9" ht="31.5" x14ac:dyDescent="0.25">
      <c r="A97" s="215" t="s">
        <v>297</v>
      </c>
      <c r="B97" s="218" t="s">
        <v>354</v>
      </c>
      <c r="C97" s="218" t="s">
        <v>134</v>
      </c>
      <c r="D97" s="8" t="s">
        <v>120</v>
      </c>
      <c r="E97" s="238"/>
      <c r="F97" s="238"/>
      <c r="G97" s="102">
        <f t="shared" si="5"/>
        <v>169.05099999999999</v>
      </c>
      <c r="H97" s="102">
        <f t="shared" si="5"/>
        <v>169.05</v>
      </c>
      <c r="I97" s="102">
        <f t="shared" si="2"/>
        <v>99.999408462534987</v>
      </c>
    </row>
    <row r="98" spans="1:9" ht="31.5" x14ac:dyDescent="0.25">
      <c r="A98" s="215" t="s">
        <v>137</v>
      </c>
      <c r="B98" s="218" t="s">
        <v>354</v>
      </c>
      <c r="C98" s="218" t="s">
        <v>134</v>
      </c>
      <c r="D98" s="8" t="s">
        <v>120</v>
      </c>
      <c r="E98" s="238">
        <v>300</v>
      </c>
      <c r="F98" s="238"/>
      <c r="G98" s="102">
        <f t="shared" si="5"/>
        <v>169.05099999999999</v>
      </c>
      <c r="H98" s="102">
        <f t="shared" si="5"/>
        <v>169.05</v>
      </c>
      <c r="I98" s="102">
        <f t="shared" si="2"/>
        <v>99.999408462534987</v>
      </c>
    </row>
    <row r="99" spans="1:9" ht="31.5" x14ac:dyDescent="0.25">
      <c r="A99" s="215" t="s">
        <v>139</v>
      </c>
      <c r="B99" s="218" t="s">
        <v>354</v>
      </c>
      <c r="C99" s="218" t="s">
        <v>134</v>
      </c>
      <c r="D99" s="8" t="s">
        <v>120</v>
      </c>
      <c r="E99" s="238">
        <v>320</v>
      </c>
      <c r="F99" s="238"/>
      <c r="G99" s="102">
        <f>'Пр.4 Ведом23'!G596</f>
        <v>169.05099999999999</v>
      </c>
      <c r="H99" s="102">
        <f>'Пр.4 Ведом23'!H596</f>
        <v>169.05</v>
      </c>
      <c r="I99" s="102">
        <f t="shared" si="2"/>
        <v>99.999408462534987</v>
      </c>
    </row>
    <row r="100" spans="1:9" ht="47.25" x14ac:dyDescent="0.25">
      <c r="A100" s="26" t="s">
        <v>876</v>
      </c>
      <c r="B100" s="218" t="s">
        <v>354</v>
      </c>
      <c r="C100" s="218" t="s">
        <v>134</v>
      </c>
      <c r="D100" s="8" t="s">
        <v>120</v>
      </c>
      <c r="E100" s="238">
        <v>320</v>
      </c>
      <c r="F100" s="238">
        <v>903</v>
      </c>
      <c r="G100" s="102">
        <f>G99</f>
        <v>169.05099999999999</v>
      </c>
      <c r="H100" s="102">
        <f>H99</f>
        <v>169.05</v>
      </c>
      <c r="I100" s="102">
        <f t="shared" si="2"/>
        <v>99.999408462534987</v>
      </c>
    </row>
    <row r="101" spans="1:9" ht="47.25" x14ac:dyDescent="0.25">
      <c r="A101" s="116" t="s">
        <v>884</v>
      </c>
      <c r="B101" s="117" t="s">
        <v>178</v>
      </c>
      <c r="C101" s="218"/>
      <c r="D101" s="217"/>
      <c r="E101" s="117"/>
      <c r="F101" s="217"/>
      <c r="G101" s="31">
        <f>G102</f>
        <v>616.91499999999996</v>
      </c>
      <c r="H101" s="31">
        <f>H102</f>
        <v>616.91499999999996</v>
      </c>
      <c r="I101" s="221">
        <f t="shared" si="2"/>
        <v>100</v>
      </c>
    </row>
    <row r="102" spans="1:9" ht="31.5" x14ac:dyDescent="0.25">
      <c r="A102" s="116" t="s">
        <v>426</v>
      </c>
      <c r="B102" s="117" t="s">
        <v>573</v>
      </c>
      <c r="C102" s="117"/>
      <c r="D102" s="217"/>
      <c r="E102" s="117"/>
      <c r="F102" s="217"/>
      <c r="G102" s="31">
        <f>G103+G109</f>
        <v>616.91499999999996</v>
      </c>
      <c r="H102" s="31">
        <f>H103+H109</f>
        <v>616.91499999999996</v>
      </c>
      <c r="I102" s="221">
        <f t="shared" si="2"/>
        <v>100</v>
      </c>
    </row>
    <row r="103" spans="1:9" ht="15.75" x14ac:dyDescent="0.25">
      <c r="A103" s="215" t="s">
        <v>158</v>
      </c>
      <c r="B103" s="218" t="s">
        <v>573</v>
      </c>
      <c r="C103" s="218" t="s">
        <v>159</v>
      </c>
      <c r="D103" s="217"/>
      <c r="E103" s="117"/>
      <c r="F103" s="217"/>
      <c r="G103" s="9">
        <f t="shared" ref="G103:H106" si="6">G104</f>
        <v>296.91499999999996</v>
      </c>
      <c r="H103" s="9">
        <f t="shared" si="6"/>
        <v>296.91500000000002</v>
      </c>
      <c r="I103" s="102">
        <f t="shared" si="2"/>
        <v>100.00000000000003</v>
      </c>
    </row>
    <row r="104" spans="1:9" ht="31.5" x14ac:dyDescent="0.25">
      <c r="A104" s="215" t="s">
        <v>164</v>
      </c>
      <c r="B104" s="218" t="s">
        <v>573</v>
      </c>
      <c r="C104" s="218" t="s">
        <v>159</v>
      </c>
      <c r="D104" s="217" t="s">
        <v>103</v>
      </c>
      <c r="E104" s="117"/>
      <c r="F104" s="217"/>
      <c r="G104" s="9">
        <f t="shared" si="6"/>
        <v>296.91499999999996</v>
      </c>
      <c r="H104" s="9">
        <f t="shared" si="6"/>
        <v>296.91500000000002</v>
      </c>
      <c r="I104" s="102">
        <f t="shared" si="2"/>
        <v>100.00000000000003</v>
      </c>
    </row>
    <row r="105" spans="1:9" ht="31.5" x14ac:dyDescent="0.25">
      <c r="A105" s="215" t="s">
        <v>425</v>
      </c>
      <c r="B105" s="218" t="s">
        <v>574</v>
      </c>
      <c r="C105" s="218" t="s">
        <v>159</v>
      </c>
      <c r="D105" s="217" t="s">
        <v>103</v>
      </c>
      <c r="E105" s="117"/>
      <c r="F105" s="217"/>
      <c r="G105" s="9">
        <f t="shared" si="6"/>
        <v>296.91499999999996</v>
      </c>
      <c r="H105" s="9">
        <f t="shared" si="6"/>
        <v>296.91500000000002</v>
      </c>
      <c r="I105" s="102">
        <f t="shared" si="2"/>
        <v>100.00000000000003</v>
      </c>
    </row>
    <row r="106" spans="1:9" ht="31.5" x14ac:dyDescent="0.25">
      <c r="A106" s="215" t="s">
        <v>88</v>
      </c>
      <c r="B106" s="218" t="s">
        <v>574</v>
      </c>
      <c r="C106" s="218" t="s">
        <v>159</v>
      </c>
      <c r="D106" s="217" t="s">
        <v>103</v>
      </c>
      <c r="E106" s="218" t="s">
        <v>89</v>
      </c>
      <c r="F106" s="217"/>
      <c r="G106" s="9">
        <f t="shared" si="6"/>
        <v>296.91499999999996</v>
      </c>
      <c r="H106" s="9">
        <f t="shared" si="6"/>
        <v>296.91500000000002</v>
      </c>
      <c r="I106" s="102">
        <f t="shared" si="2"/>
        <v>100.00000000000003</v>
      </c>
    </row>
    <row r="107" spans="1:9" ht="47.25" x14ac:dyDescent="0.25">
      <c r="A107" s="215" t="s">
        <v>90</v>
      </c>
      <c r="B107" s="218" t="s">
        <v>574</v>
      </c>
      <c r="C107" s="218" t="s">
        <v>159</v>
      </c>
      <c r="D107" s="217" t="s">
        <v>103</v>
      </c>
      <c r="E107" s="218" t="s">
        <v>91</v>
      </c>
      <c r="F107" s="217"/>
      <c r="G107" s="9">
        <f>'Пр.4 Ведом23'!G583</f>
        <v>296.91499999999996</v>
      </c>
      <c r="H107" s="9">
        <f>'Пр.4 Ведом23'!H583</f>
        <v>296.91500000000002</v>
      </c>
      <c r="I107" s="102">
        <f t="shared" si="2"/>
        <v>100.00000000000003</v>
      </c>
    </row>
    <row r="108" spans="1:9" ht="47.25" x14ac:dyDescent="0.25">
      <c r="A108" s="26" t="s">
        <v>876</v>
      </c>
      <c r="B108" s="218" t="s">
        <v>574</v>
      </c>
      <c r="C108" s="218" t="s">
        <v>159</v>
      </c>
      <c r="D108" s="217" t="s">
        <v>103</v>
      </c>
      <c r="E108" s="218" t="s">
        <v>91</v>
      </c>
      <c r="F108" s="217" t="s">
        <v>237</v>
      </c>
      <c r="G108" s="9">
        <f>G107</f>
        <v>296.91499999999996</v>
      </c>
      <c r="H108" s="9">
        <f>H107</f>
        <v>296.91500000000002</v>
      </c>
      <c r="I108" s="102">
        <f t="shared" si="2"/>
        <v>100.00000000000003</v>
      </c>
    </row>
    <row r="109" spans="1:9" ht="15.75" x14ac:dyDescent="0.25">
      <c r="A109" s="215" t="s">
        <v>133</v>
      </c>
      <c r="B109" s="218" t="s">
        <v>573</v>
      </c>
      <c r="C109" s="218" t="s">
        <v>134</v>
      </c>
      <c r="D109" s="217"/>
      <c r="E109" s="117"/>
      <c r="F109" s="217"/>
      <c r="G109" s="9">
        <f t="shared" ref="G109:H112" si="7">G110</f>
        <v>320</v>
      </c>
      <c r="H109" s="9">
        <f t="shared" si="7"/>
        <v>320</v>
      </c>
      <c r="I109" s="102">
        <f t="shared" si="2"/>
        <v>100</v>
      </c>
    </row>
    <row r="110" spans="1:9" ht="15.75" x14ac:dyDescent="0.25">
      <c r="A110" s="215" t="s">
        <v>141</v>
      </c>
      <c r="B110" s="218" t="s">
        <v>573</v>
      </c>
      <c r="C110" s="218" t="s">
        <v>134</v>
      </c>
      <c r="D110" s="217" t="s">
        <v>120</v>
      </c>
      <c r="E110" s="117"/>
      <c r="F110" s="217"/>
      <c r="G110" s="9">
        <f t="shared" si="7"/>
        <v>320</v>
      </c>
      <c r="H110" s="9">
        <f t="shared" si="7"/>
        <v>320</v>
      </c>
      <c r="I110" s="102">
        <f t="shared" si="2"/>
        <v>100</v>
      </c>
    </row>
    <row r="111" spans="1:9" ht="15.75" x14ac:dyDescent="0.25">
      <c r="A111" s="215" t="s">
        <v>461</v>
      </c>
      <c r="B111" s="218" t="s">
        <v>575</v>
      </c>
      <c r="C111" s="218" t="s">
        <v>134</v>
      </c>
      <c r="D111" s="217" t="s">
        <v>120</v>
      </c>
      <c r="E111" s="218"/>
      <c r="F111" s="217"/>
      <c r="G111" s="114">
        <f t="shared" si="7"/>
        <v>320</v>
      </c>
      <c r="H111" s="114">
        <f t="shared" si="7"/>
        <v>320</v>
      </c>
      <c r="I111" s="102">
        <f t="shared" si="2"/>
        <v>100</v>
      </c>
    </row>
    <row r="112" spans="1:9" ht="31.5" x14ac:dyDescent="0.25">
      <c r="A112" s="215" t="s">
        <v>137</v>
      </c>
      <c r="B112" s="218" t="s">
        <v>575</v>
      </c>
      <c r="C112" s="218" t="s">
        <v>134</v>
      </c>
      <c r="D112" s="217" t="s">
        <v>120</v>
      </c>
      <c r="E112" s="218" t="s">
        <v>138</v>
      </c>
      <c r="F112" s="217"/>
      <c r="G112" s="114">
        <f t="shared" si="7"/>
        <v>320</v>
      </c>
      <c r="H112" s="114">
        <f t="shared" si="7"/>
        <v>320</v>
      </c>
      <c r="I112" s="102">
        <f t="shared" si="2"/>
        <v>100</v>
      </c>
    </row>
    <row r="113" spans="1:15" ht="31.5" x14ac:dyDescent="0.25">
      <c r="A113" s="215" t="s">
        <v>172</v>
      </c>
      <c r="B113" s="218" t="s">
        <v>575</v>
      </c>
      <c r="C113" s="218" t="s">
        <v>134</v>
      </c>
      <c r="D113" s="217" t="s">
        <v>120</v>
      </c>
      <c r="E113" s="218" t="s">
        <v>173</v>
      </c>
      <c r="F113" s="217"/>
      <c r="G113" s="114">
        <f>'Пр.4 Ведом23'!G613</f>
        <v>320</v>
      </c>
      <c r="H113" s="114">
        <f>'Пр.4 Ведом23'!H613</f>
        <v>320</v>
      </c>
      <c r="I113" s="102">
        <f t="shared" si="2"/>
        <v>100</v>
      </c>
    </row>
    <row r="114" spans="1:15" ht="47.25" x14ac:dyDescent="0.25">
      <c r="A114" s="26" t="s">
        <v>876</v>
      </c>
      <c r="B114" s="218" t="s">
        <v>575</v>
      </c>
      <c r="C114" s="218" t="s">
        <v>134</v>
      </c>
      <c r="D114" s="217" t="s">
        <v>120</v>
      </c>
      <c r="E114" s="218" t="s">
        <v>173</v>
      </c>
      <c r="F114" s="217" t="s">
        <v>237</v>
      </c>
      <c r="G114" s="9">
        <f>G113</f>
        <v>320</v>
      </c>
      <c r="H114" s="9">
        <f>H113</f>
        <v>320</v>
      </c>
      <c r="I114" s="102">
        <f t="shared" si="2"/>
        <v>100</v>
      </c>
    </row>
    <row r="115" spans="1:15" ht="47.25" x14ac:dyDescent="0.25">
      <c r="A115" s="116" t="s">
        <v>885</v>
      </c>
      <c r="B115" s="117" t="s">
        <v>189</v>
      </c>
      <c r="C115" s="117"/>
      <c r="D115" s="217"/>
      <c r="E115" s="217"/>
      <c r="F115" s="217"/>
      <c r="G115" s="113">
        <f>G116+G133+G154+G196+G236+G261+G268+G275+G203+G248+G282</f>
        <v>370103.12494999997</v>
      </c>
      <c r="H115" s="113">
        <f>H116+H133+H154+H196+H236+H261+H268+H275+H203+H248+H282</f>
        <v>366267.11165999988</v>
      </c>
      <c r="I115" s="221">
        <f t="shared" si="2"/>
        <v>98.963528532616877</v>
      </c>
      <c r="O115" s="15"/>
    </row>
    <row r="116" spans="1:15" ht="47.25" x14ac:dyDescent="0.25">
      <c r="A116" s="116" t="s">
        <v>375</v>
      </c>
      <c r="B116" s="117" t="s">
        <v>582</v>
      </c>
      <c r="C116" s="117"/>
      <c r="D116" s="6"/>
      <c r="E116" s="6"/>
      <c r="F116" s="6"/>
      <c r="G116" s="31">
        <f>G117</f>
        <v>86978.16220999998</v>
      </c>
      <c r="H116" s="31">
        <f>H117</f>
        <v>85165.079209999996</v>
      </c>
      <c r="I116" s="221">
        <f t="shared" si="2"/>
        <v>97.915473316598153</v>
      </c>
    </row>
    <row r="117" spans="1:15" ht="15.75" x14ac:dyDescent="0.25">
      <c r="A117" s="19" t="s">
        <v>144</v>
      </c>
      <c r="B117" s="218" t="s">
        <v>582</v>
      </c>
      <c r="C117" s="218" t="s">
        <v>145</v>
      </c>
      <c r="D117" s="217"/>
      <c r="E117" s="6"/>
      <c r="F117" s="6"/>
      <c r="G117" s="31">
        <f>G118+G123+G128</f>
        <v>86978.16220999998</v>
      </c>
      <c r="H117" s="31">
        <f>H118+H123+H128</f>
        <v>85165.079209999996</v>
      </c>
      <c r="I117" s="221">
        <f t="shared" si="2"/>
        <v>97.915473316598153</v>
      </c>
    </row>
    <row r="118" spans="1:15" ht="15.75" x14ac:dyDescent="0.25">
      <c r="A118" s="26" t="s">
        <v>188</v>
      </c>
      <c r="B118" s="218" t="s">
        <v>582</v>
      </c>
      <c r="C118" s="218" t="s">
        <v>145</v>
      </c>
      <c r="D118" s="217" t="s">
        <v>81</v>
      </c>
      <c r="E118" s="6"/>
      <c r="F118" s="6"/>
      <c r="G118" s="9">
        <f t="shared" ref="G118:H120" si="8">G119</f>
        <v>17214.309999999998</v>
      </c>
      <c r="H118" s="9">
        <f t="shared" si="8"/>
        <v>16949.782999999999</v>
      </c>
      <c r="I118" s="102">
        <f t="shared" si="2"/>
        <v>98.463330798620461</v>
      </c>
    </row>
    <row r="119" spans="1:15" ht="47.25" x14ac:dyDescent="0.25">
      <c r="A119" s="215" t="s">
        <v>581</v>
      </c>
      <c r="B119" s="218" t="s">
        <v>583</v>
      </c>
      <c r="C119" s="218" t="s">
        <v>145</v>
      </c>
      <c r="D119" s="217" t="s">
        <v>81</v>
      </c>
      <c r="E119" s="6"/>
      <c r="F119" s="6"/>
      <c r="G119" s="9">
        <f t="shared" si="8"/>
        <v>17214.309999999998</v>
      </c>
      <c r="H119" s="9">
        <f t="shared" si="8"/>
        <v>16949.782999999999</v>
      </c>
      <c r="I119" s="102">
        <f t="shared" si="2"/>
        <v>98.463330798620461</v>
      </c>
    </row>
    <row r="120" spans="1:15" ht="47.25" x14ac:dyDescent="0.25">
      <c r="A120" s="215" t="s">
        <v>149</v>
      </c>
      <c r="B120" s="218" t="s">
        <v>583</v>
      </c>
      <c r="C120" s="218" t="s">
        <v>145</v>
      </c>
      <c r="D120" s="217" t="s">
        <v>81</v>
      </c>
      <c r="E120" s="217" t="s">
        <v>150</v>
      </c>
      <c r="F120" s="217"/>
      <c r="G120" s="9">
        <f t="shared" si="8"/>
        <v>17214.309999999998</v>
      </c>
      <c r="H120" s="9">
        <f t="shared" si="8"/>
        <v>16949.782999999999</v>
      </c>
      <c r="I120" s="102">
        <f t="shared" si="2"/>
        <v>98.463330798620461</v>
      </c>
    </row>
    <row r="121" spans="1:15" ht="15.75" x14ac:dyDescent="0.25">
      <c r="A121" s="215" t="s">
        <v>151</v>
      </c>
      <c r="B121" s="218" t="s">
        <v>583</v>
      </c>
      <c r="C121" s="218" t="s">
        <v>145</v>
      </c>
      <c r="D121" s="217" t="s">
        <v>81</v>
      </c>
      <c r="E121" s="217" t="s">
        <v>152</v>
      </c>
      <c r="F121" s="217"/>
      <c r="G121" s="9">
        <f>'Пр.4 Ведом23'!G728</f>
        <v>17214.309999999998</v>
      </c>
      <c r="H121" s="9">
        <f>'Пр.4 Ведом23'!H728</f>
        <v>16949.782999999999</v>
      </c>
      <c r="I121" s="102">
        <f t="shared" si="2"/>
        <v>98.463330798620461</v>
      </c>
    </row>
    <row r="122" spans="1:15" ht="31.5" x14ac:dyDescent="0.25">
      <c r="A122" s="19" t="s">
        <v>878</v>
      </c>
      <c r="B122" s="218" t="s">
        <v>583</v>
      </c>
      <c r="C122" s="217" t="s">
        <v>145</v>
      </c>
      <c r="D122" s="217" t="s">
        <v>81</v>
      </c>
      <c r="E122" s="217" t="s">
        <v>152</v>
      </c>
      <c r="F122" s="217" t="s">
        <v>238</v>
      </c>
      <c r="G122" s="9">
        <f>G121</f>
        <v>17214.309999999998</v>
      </c>
      <c r="H122" s="9">
        <f>H121</f>
        <v>16949.782999999999</v>
      </c>
      <c r="I122" s="102">
        <f t="shared" si="2"/>
        <v>98.463330798620461</v>
      </c>
    </row>
    <row r="123" spans="1:15" ht="15.75" x14ac:dyDescent="0.25">
      <c r="A123" s="19" t="s">
        <v>190</v>
      </c>
      <c r="B123" s="217" t="s">
        <v>582</v>
      </c>
      <c r="C123" s="217" t="s">
        <v>145</v>
      </c>
      <c r="D123" s="217" t="s">
        <v>119</v>
      </c>
      <c r="E123" s="217"/>
      <c r="F123" s="217"/>
      <c r="G123" s="9">
        <f t="shared" ref="G123:H125" si="9">G124</f>
        <v>33024.180209999999</v>
      </c>
      <c r="H123" s="9">
        <f t="shared" si="9"/>
        <v>31552.392830000001</v>
      </c>
      <c r="I123" s="102">
        <f t="shared" si="2"/>
        <v>95.543303813627062</v>
      </c>
    </row>
    <row r="124" spans="1:15" ht="47.25" x14ac:dyDescent="0.25">
      <c r="A124" s="215" t="s">
        <v>191</v>
      </c>
      <c r="B124" s="218" t="s">
        <v>594</v>
      </c>
      <c r="C124" s="217" t="s">
        <v>145</v>
      </c>
      <c r="D124" s="217" t="s">
        <v>119</v>
      </c>
      <c r="E124" s="217"/>
      <c r="F124" s="217"/>
      <c r="G124" s="9">
        <f t="shared" si="9"/>
        <v>33024.180209999999</v>
      </c>
      <c r="H124" s="9">
        <f t="shared" si="9"/>
        <v>31552.392830000001</v>
      </c>
      <c r="I124" s="102">
        <f t="shared" si="2"/>
        <v>95.543303813627062</v>
      </c>
    </row>
    <row r="125" spans="1:15" ht="47.25" x14ac:dyDescent="0.25">
      <c r="A125" s="215" t="s">
        <v>149</v>
      </c>
      <c r="B125" s="218" t="s">
        <v>594</v>
      </c>
      <c r="C125" s="217" t="s">
        <v>145</v>
      </c>
      <c r="D125" s="217" t="s">
        <v>119</v>
      </c>
      <c r="E125" s="217" t="s">
        <v>150</v>
      </c>
      <c r="F125" s="217"/>
      <c r="G125" s="9">
        <f t="shared" si="9"/>
        <v>33024.180209999999</v>
      </c>
      <c r="H125" s="9">
        <f t="shared" si="9"/>
        <v>31552.392830000001</v>
      </c>
      <c r="I125" s="102">
        <f t="shared" si="2"/>
        <v>95.543303813627062</v>
      </c>
    </row>
    <row r="126" spans="1:15" ht="15.75" x14ac:dyDescent="0.25">
      <c r="A126" s="215" t="s">
        <v>151</v>
      </c>
      <c r="B126" s="218" t="s">
        <v>594</v>
      </c>
      <c r="C126" s="217" t="s">
        <v>145</v>
      </c>
      <c r="D126" s="217" t="s">
        <v>119</v>
      </c>
      <c r="E126" s="217" t="s">
        <v>152</v>
      </c>
      <c r="F126" s="217"/>
      <c r="G126" s="9">
        <f>'Пр.4 Ведом23'!G776</f>
        <v>33024.180209999999</v>
      </c>
      <c r="H126" s="9">
        <f>'Пр.4 Ведом23'!H776</f>
        <v>31552.392830000001</v>
      </c>
      <c r="I126" s="102">
        <f t="shared" si="2"/>
        <v>95.543303813627062</v>
      </c>
    </row>
    <row r="127" spans="1:15" ht="31.5" x14ac:dyDescent="0.25">
      <c r="A127" s="19" t="s">
        <v>878</v>
      </c>
      <c r="B127" s="218" t="s">
        <v>594</v>
      </c>
      <c r="C127" s="217" t="s">
        <v>145</v>
      </c>
      <c r="D127" s="217" t="s">
        <v>119</v>
      </c>
      <c r="E127" s="217" t="s">
        <v>152</v>
      </c>
      <c r="F127" s="217" t="s">
        <v>238</v>
      </c>
      <c r="G127" s="9">
        <f>G126</f>
        <v>33024.180209999999</v>
      </c>
      <c r="H127" s="9">
        <f>H126</f>
        <v>31552.392830000001</v>
      </c>
      <c r="I127" s="102">
        <f t="shared" si="2"/>
        <v>95.543303813627062</v>
      </c>
    </row>
    <row r="128" spans="1:15" ht="15.75" x14ac:dyDescent="0.25">
      <c r="A128" s="19" t="s">
        <v>146</v>
      </c>
      <c r="B128" s="217" t="s">
        <v>582</v>
      </c>
      <c r="C128" s="217" t="s">
        <v>145</v>
      </c>
      <c r="D128" s="217" t="s">
        <v>120</v>
      </c>
      <c r="E128" s="217"/>
      <c r="F128" s="217"/>
      <c r="G128" s="9">
        <f t="shared" ref="G128:H130" si="10">G129</f>
        <v>36739.671999999991</v>
      </c>
      <c r="H128" s="9">
        <f t="shared" si="10"/>
        <v>36662.903380000003</v>
      </c>
      <c r="I128" s="102">
        <f t="shared" si="2"/>
        <v>99.791047073038683</v>
      </c>
    </row>
    <row r="129" spans="1:9" ht="47.25" x14ac:dyDescent="0.25">
      <c r="A129" s="19" t="s">
        <v>148</v>
      </c>
      <c r="B129" s="218" t="s">
        <v>598</v>
      </c>
      <c r="C129" s="217" t="s">
        <v>145</v>
      </c>
      <c r="D129" s="217" t="s">
        <v>120</v>
      </c>
      <c r="E129" s="6"/>
      <c r="F129" s="6"/>
      <c r="G129" s="9">
        <f t="shared" si="10"/>
        <v>36739.671999999991</v>
      </c>
      <c r="H129" s="9">
        <f t="shared" si="10"/>
        <v>36662.903380000003</v>
      </c>
      <c r="I129" s="102">
        <f t="shared" si="2"/>
        <v>99.791047073038683</v>
      </c>
    </row>
    <row r="130" spans="1:9" ht="47.25" x14ac:dyDescent="0.25">
      <c r="A130" s="19" t="s">
        <v>149</v>
      </c>
      <c r="B130" s="218" t="s">
        <v>598</v>
      </c>
      <c r="C130" s="217" t="s">
        <v>145</v>
      </c>
      <c r="D130" s="217" t="s">
        <v>120</v>
      </c>
      <c r="E130" s="217" t="s">
        <v>150</v>
      </c>
      <c r="F130" s="217"/>
      <c r="G130" s="9">
        <f t="shared" si="10"/>
        <v>36739.671999999991</v>
      </c>
      <c r="H130" s="9">
        <f t="shared" si="10"/>
        <v>36662.903380000003</v>
      </c>
      <c r="I130" s="102">
        <f t="shared" si="2"/>
        <v>99.791047073038683</v>
      </c>
    </row>
    <row r="131" spans="1:9" ht="15.75" x14ac:dyDescent="0.25">
      <c r="A131" s="19" t="s">
        <v>151</v>
      </c>
      <c r="B131" s="218" t="s">
        <v>598</v>
      </c>
      <c r="C131" s="217" t="s">
        <v>145</v>
      </c>
      <c r="D131" s="217" t="s">
        <v>120</v>
      </c>
      <c r="E131" s="217" t="s">
        <v>152</v>
      </c>
      <c r="F131" s="217"/>
      <c r="G131" s="9">
        <f>'Пр.4 Ведом23'!G849</f>
        <v>36739.671999999991</v>
      </c>
      <c r="H131" s="9">
        <f>'Пр.4 Ведом23'!H849</f>
        <v>36662.903380000003</v>
      </c>
      <c r="I131" s="102">
        <f t="shared" si="2"/>
        <v>99.791047073038683</v>
      </c>
    </row>
    <row r="132" spans="1:9" ht="31.5" x14ac:dyDescent="0.25">
      <c r="A132" s="19" t="s">
        <v>878</v>
      </c>
      <c r="B132" s="218" t="s">
        <v>598</v>
      </c>
      <c r="C132" s="217" t="s">
        <v>145</v>
      </c>
      <c r="D132" s="217" t="s">
        <v>120</v>
      </c>
      <c r="E132" s="217" t="s">
        <v>152</v>
      </c>
      <c r="F132" s="217" t="s">
        <v>238</v>
      </c>
      <c r="G132" s="9">
        <f>G131</f>
        <v>36739.671999999991</v>
      </c>
      <c r="H132" s="9">
        <f>H131</f>
        <v>36662.903380000003</v>
      </c>
      <c r="I132" s="102">
        <f t="shared" si="2"/>
        <v>99.791047073038683</v>
      </c>
    </row>
    <row r="133" spans="1:9" ht="47.25" x14ac:dyDescent="0.25">
      <c r="A133" s="116" t="s">
        <v>349</v>
      </c>
      <c r="B133" s="117" t="s">
        <v>584</v>
      </c>
      <c r="C133" s="6"/>
      <c r="D133" s="6"/>
      <c r="E133" s="6"/>
      <c r="F133" s="6"/>
      <c r="G133" s="31">
        <f>G134</f>
        <v>246452.41199999998</v>
      </c>
      <c r="H133" s="31">
        <f>H134</f>
        <v>245399.35547999997</v>
      </c>
      <c r="I133" s="221">
        <f t="shared" si="2"/>
        <v>99.572714054021915</v>
      </c>
    </row>
    <row r="134" spans="1:9" ht="15.75" x14ac:dyDescent="0.25">
      <c r="A134" s="19" t="s">
        <v>144</v>
      </c>
      <c r="B134" s="217" t="s">
        <v>584</v>
      </c>
      <c r="C134" s="217" t="s">
        <v>145</v>
      </c>
      <c r="D134" s="217"/>
      <c r="E134" s="217"/>
      <c r="F134" s="217"/>
      <c r="G134" s="9">
        <f>G135+G140+G149</f>
        <v>246452.41199999998</v>
      </c>
      <c r="H134" s="9">
        <f>H135+H140+H149</f>
        <v>245399.35547999997</v>
      </c>
      <c r="I134" s="102">
        <f t="shared" si="2"/>
        <v>99.572714054021915</v>
      </c>
    </row>
    <row r="135" spans="1:9" ht="15.75" x14ac:dyDescent="0.25">
      <c r="A135" s="26" t="s">
        <v>188</v>
      </c>
      <c r="B135" s="217" t="s">
        <v>584</v>
      </c>
      <c r="C135" s="217" t="s">
        <v>145</v>
      </c>
      <c r="D135" s="217" t="s">
        <v>81</v>
      </c>
      <c r="E135" s="217"/>
      <c r="F135" s="217"/>
      <c r="G135" s="9">
        <f t="shared" ref="G135:H137" si="11">G136</f>
        <v>75261.147999999986</v>
      </c>
      <c r="H135" s="9">
        <f t="shared" si="11"/>
        <v>74608.226809999993</v>
      </c>
      <c r="I135" s="102">
        <f t="shared" si="2"/>
        <v>99.132459167378101</v>
      </c>
    </row>
    <row r="136" spans="1:9" ht="63" x14ac:dyDescent="0.25">
      <c r="A136" s="215" t="s">
        <v>852</v>
      </c>
      <c r="B136" s="218" t="s">
        <v>763</v>
      </c>
      <c r="C136" s="217" t="s">
        <v>145</v>
      </c>
      <c r="D136" s="217" t="s">
        <v>81</v>
      </c>
      <c r="E136" s="217"/>
      <c r="F136" s="217"/>
      <c r="G136" s="9">
        <f t="shared" si="11"/>
        <v>75261.147999999986</v>
      </c>
      <c r="H136" s="9">
        <f t="shared" si="11"/>
        <v>74608.226809999993</v>
      </c>
      <c r="I136" s="102">
        <f t="shared" si="2"/>
        <v>99.132459167378101</v>
      </c>
    </row>
    <row r="137" spans="1:9" ht="47.25" x14ac:dyDescent="0.25">
      <c r="A137" s="215" t="s">
        <v>149</v>
      </c>
      <c r="B137" s="218" t="s">
        <v>763</v>
      </c>
      <c r="C137" s="217" t="s">
        <v>145</v>
      </c>
      <c r="D137" s="217" t="s">
        <v>81</v>
      </c>
      <c r="E137" s="217" t="s">
        <v>150</v>
      </c>
      <c r="F137" s="217"/>
      <c r="G137" s="9">
        <f t="shared" si="11"/>
        <v>75261.147999999986</v>
      </c>
      <c r="H137" s="9">
        <f t="shared" si="11"/>
        <v>74608.226809999993</v>
      </c>
      <c r="I137" s="102">
        <f t="shared" si="2"/>
        <v>99.132459167378101</v>
      </c>
    </row>
    <row r="138" spans="1:9" ht="15.75" x14ac:dyDescent="0.25">
      <c r="A138" s="215" t="s">
        <v>151</v>
      </c>
      <c r="B138" s="218" t="s">
        <v>763</v>
      </c>
      <c r="C138" s="217" t="s">
        <v>145</v>
      </c>
      <c r="D138" s="217" t="s">
        <v>81</v>
      </c>
      <c r="E138" s="217" t="s">
        <v>152</v>
      </c>
      <c r="F138" s="217"/>
      <c r="G138" s="9">
        <f>'Пр.4 Ведом23'!G732</f>
        <v>75261.147999999986</v>
      </c>
      <c r="H138" s="9">
        <f>'Пр.4 Ведом23'!H732</f>
        <v>74608.226809999993</v>
      </c>
      <c r="I138" s="102">
        <f t="shared" ref="I138:I201" si="12">H138/G138*100</f>
        <v>99.132459167378101</v>
      </c>
    </row>
    <row r="139" spans="1:9" ht="31.5" x14ac:dyDescent="0.25">
      <c r="A139" s="19" t="s">
        <v>878</v>
      </c>
      <c r="B139" s="218" t="s">
        <v>763</v>
      </c>
      <c r="C139" s="217" t="s">
        <v>145</v>
      </c>
      <c r="D139" s="217" t="s">
        <v>81</v>
      </c>
      <c r="E139" s="217" t="s">
        <v>152</v>
      </c>
      <c r="F139" s="217" t="s">
        <v>238</v>
      </c>
      <c r="G139" s="9">
        <f>G138</f>
        <v>75261.147999999986</v>
      </c>
      <c r="H139" s="9">
        <f>H138</f>
        <v>74608.226809999993</v>
      </c>
      <c r="I139" s="102">
        <f t="shared" si="12"/>
        <v>99.132459167378101</v>
      </c>
    </row>
    <row r="140" spans="1:9" ht="15.75" x14ac:dyDescent="0.25">
      <c r="A140" s="19" t="s">
        <v>190</v>
      </c>
      <c r="B140" s="217" t="s">
        <v>584</v>
      </c>
      <c r="C140" s="217" t="s">
        <v>145</v>
      </c>
      <c r="D140" s="217" t="s">
        <v>119</v>
      </c>
      <c r="E140" s="217"/>
      <c r="F140" s="217"/>
      <c r="G140" s="9">
        <f>G141+G145</f>
        <v>169371.364</v>
      </c>
      <c r="H140" s="9">
        <f>H141+H145</f>
        <v>169005.22295999998</v>
      </c>
      <c r="I140" s="102">
        <f t="shared" si="12"/>
        <v>99.78382352757103</v>
      </c>
    </row>
    <row r="141" spans="1:9" ht="78.75" x14ac:dyDescent="0.25">
      <c r="A141" s="215" t="s">
        <v>647</v>
      </c>
      <c r="B141" s="218" t="s">
        <v>648</v>
      </c>
      <c r="C141" s="217" t="s">
        <v>145</v>
      </c>
      <c r="D141" s="217" t="s">
        <v>119</v>
      </c>
      <c r="E141" s="217"/>
      <c r="F141" s="217"/>
      <c r="G141" s="9">
        <f>G142</f>
        <v>6521.7000000000007</v>
      </c>
      <c r="H141" s="9">
        <f>H142</f>
        <v>6455.8775900000001</v>
      </c>
      <c r="I141" s="102">
        <f t="shared" si="12"/>
        <v>98.990716990968593</v>
      </c>
    </row>
    <row r="142" spans="1:9" ht="47.25" x14ac:dyDescent="0.25">
      <c r="A142" s="215" t="s">
        <v>149</v>
      </c>
      <c r="B142" s="218" t="s">
        <v>648</v>
      </c>
      <c r="C142" s="217" t="s">
        <v>145</v>
      </c>
      <c r="D142" s="217" t="s">
        <v>119</v>
      </c>
      <c r="E142" s="217" t="s">
        <v>150</v>
      </c>
      <c r="F142" s="217"/>
      <c r="G142" s="9">
        <f>G143</f>
        <v>6521.7000000000007</v>
      </c>
      <c r="H142" s="9">
        <f>H143</f>
        <v>6455.8775900000001</v>
      </c>
      <c r="I142" s="102">
        <f t="shared" si="12"/>
        <v>98.990716990968593</v>
      </c>
    </row>
    <row r="143" spans="1:9" ht="15.75" x14ac:dyDescent="0.25">
      <c r="A143" s="215" t="s">
        <v>151</v>
      </c>
      <c r="B143" s="218" t="s">
        <v>648</v>
      </c>
      <c r="C143" s="217" t="s">
        <v>145</v>
      </c>
      <c r="D143" s="217" t="s">
        <v>119</v>
      </c>
      <c r="E143" s="217" t="s">
        <v>152</v>
      </c>
      <c r="F143" s="217"/>
      <c r="G143" s="9">
        <f>'Пр.4 Ведом23'!G783</f>
        <v>6521.7000000000007</v>
      </c>
      <c r="H143" s="9">
        <f>'Пр.4 Ведом23'!H783</f>
        <v>6455.8775900000001</v>
      </c>
      <c r="I143" s="102">
        <f t="shared" si="12"/>
        <v>98.990716990968593</v>
      </c>
    </row>
    <row r="144" spans="1:9" ht="31.5" x14ac:dyDescent="0.25">
      <c r="A144" s="19" t="s">
        <v>878</v>
      </c>
      <c r="B144" s="218" t="s">
        <v>648</v>
      </c>
      <c r="C144" s="217" t="s">
        <v>145</v>
      </c>
      <c r="D144" s="217" t="s">
        <v>119</v>
      </c>
      <c r="E144" s="217" t="s">
        <v>152</v>
      </c>
      <c r="F144" s="217" t="s">
        <v>238</v>
      </c>
      <c r="G144" s="9">
        <f>G143</f>
        <v>6521.7000000000007</v>
      </c>
      <c r="H144" s="9">
        <f>H143</f>
        <v>6455.8775900000001</v>
      </c>
      <c r="I144" s="102">
        <f t="shared" si="12"/>
        <v>98.990716990968593</v>
      </c>
    </row>
    <row r="145" spans="1:9" ht="63" x14ac:dyDescent="0.25">
      <c r="A145" s="215" t="s">
        <v>852</v>
      </c>
      <c r="B145" s="218" t="s">
        <v>763</v>
      </c>
      <c r="C145" s="217" t="s">
        <v>145</v>
      </c>
      <c r="D145" s="217" t="s">
        <v>119</v>
      </c>
      <c r="E145" s="217"/>
      <c r="F145" s="217"/>
      <c r="G145" s="9">
        <f>G146</f>
        <v>162849.66399999999</v>
      </c>
      <c r="H145" s="9">
        <f>H146</f>
        <v>162549.34537</v>
      </c>
      <c r="I145" s="102">
        <f t="shared" si="12"/>
        <v>99.81558535484605</v>
      </c>
    </row>
    <row r="146" spans="1:9" ht="47.25" x14ac:dyDescent="0.25">
      <c r="A146" s="215" t="s">
        <v>149</v>
      </c>
      <c r="B146" s="218" t="s">
        <v>763</v>
      </c>
      <c r="C146" s="217" t="s">
        <v>145</v>
      </c>
      <c r="D146" s="217" t="s">
        <v>119</v>
      </c>
      <c r="E146" s="217" t="s">
        <v>150</v>
      </c>
      <c r="F146" s="217"/>
      <c r="G146" s="9">
        <f>G147</f>
        <v>162849.66399999999</v>
      </c>
      <c r="H146" s="9">
        <f>H147</f>
        <v>162549.34537</v>
      </c>
      <c r="I146" s="102">
        <f t="shared" si="12"/>
        <v>99.81558535484605</v>
      </c>
    </row>
    <row r="147" spans="1:9" ht="15.75" x14ac:dyDescent="0.25">
      <c r="A147" s="215" t="s">
        <v>151</v>
      </c>
      <c r="B147" s="218" t="s">
        <v>763</v>
      </c>
      <c r="C147" s="217" t="s">
        <v>145</v>
      </c>
      <c r="D147" s="217" t="s">
        <v>119</v>
      </c>
      <c r="E147" s="217" t="s">
        <v>152</v>
      </c>
      <c r="F147" s="217"/>
      <c r="G147" s="9">
        <f>'Пр.4 Ведом23'!G786</f>
        <v>162849.66399999999</v>
      </c>
      <c r="H147" s="9">
        <f>'Пр.4 Ведом23'!H786</f>
        <v>162549.34537</v>
      </c>
      <c r="I147" s="102">
        <f t="shared" si="12"/>
        <v>99.81558535484605</v>
      </c>
    </row>
    <row r="148" spans="1:9" ht="31.5" x14ac:dyDescent="0.25">
      <c r="A148" s="19" t="s">
        <v>878</v>
      </c>
      <c r="B148" s="218" t="s">
        <v>763</v>
      </c>
      <c r="C148" s="217" t="s">
        <v>145</v>
      </c>
      <c r="D148" s="217" t="s">
        <v>119</v>
      </c>
      <c r="E148" s="217" t="s">
        <v>152</v>
      </c>
      <c r="F148" s="217" t="s">
        <v>238</v>
      </c>
      <c r="G148" s="9">
        <f>G147</f>
        <v>162849.66399999999</v>
      </c>
      <c r="H148" s="9">
        <f>H147</f>
        <v>162549.34537</v>
      </c>
      <c r="I148" s="102">
        <f t="shared" si="12"/>
        <v>99.81558535484605</v>
      </c>
    </row>
    <row r="149" spans="1:9" ht="15.75" x14ac:dyDescent="0.25">
      <c r="A149" s="19" t="s">
        <v>146</v>
      </c>
      <c r="B149" s="217" t="s">
        <v>584</v>
      </c>
      <c r="C149" s="217" t="s">
        <v>145</v>
      </c>
      <c r="D149" s="217" t="s">
        <v>120</v>
      </c>
      <c r="E149" s="217"/>
      <c r="F149" s="217"/>
      <c r="G149" s="9">
        <f t="shared" ref="G149:H151" si="13">G150</f>
        <v>1819.9</v>
      </c>
      <c r="H149" s="9">
        <f t="shared" si="13"/>
        <v>1785.90571</v>
      </c>
      <c r="I149" s="102">
        <f t="shared" si="12"/>
        <v>98.132079235122802</v>
      </c>
    </row>
    <row r="150" spans="1:9" ht="63" x14ac:dyDescent="0.25">
      <c r="A150" s="215" t="s">
        <v>852</v>
      </c>
      <c r="B150" s="218" t="s">
        <v>763</v>
      </c>
      <c r="C150" s="217" t="s">
        <v>145</v>
      </c>
      <c r="D150" s="217" t="s">
        <v>120</v>
      </c>
      <c r="E150" s="217"/>
      <c r="F150" s="217"/>
      <c r="G150" s="9">
        <f t="shared" si="13"/>
        <v>1819.9</v>
      </c>
      <c r="H150" s="9">
        <f t="shared" si="13"/>
        <v>1785.90571</v>
      </c>
      <c r="I150" s="102">
        <f t="shared" si="12"/>
        <v>98.132079235122802</v>
      </c>
    </row>
    <row r="151" spans="1:9" ht="39.200000000000003" customHeight="1" x14ac:dyDescent="0.25">
      <c r="A151" s="215" t="s">
        <v>149</v>
      </c>
      <c r="B151" s="218" t="s">
        <v>763</v>
      </c>
      <c r="C151" s="217" t="s">
        <v>145</v>
      </c>
      <c r="D151" s="217" t="s">
        <v>120</v>
      </c>
      <c r="E151" s="217" t="s">
        <v>150</v>
      </c>
      <c r="F151" s="217"/>
      <c r="G151" s="9">
        <f t="shared" si="13"/>
        <v>1819.9</v>
      </c>
      <c r="H151" s="9">
        <f t="shared" si="13"/>
        <v>1785.90571</v>
      </c>
      <c r="I151" s="102">
        <f t="shared" si="12"/>
        <v>98.132079235122802</v>
      </c>
    </row>
    <row r="152" spans="1:9" ht="15.75" x14ac:dyDescent="0.25">
      <c r="A152" s="215" t="s">
        <v>151</v>
      </c>
      <c r="B152" s="218" t="s">
        <v>763</v>
      </c>
      <c r="C152" s="217" t="s">
        <v>145</v>
      </c>
      <c r="D152" s="217" t="s">
        <v>120</v>
      </c>
      <c r="E152" s="217" t="s">
        <v>152</v>
      </c>
      <c r="F152" s="217"/>
      <c r="G152" s="9">
        <f>'Пр.4 Ведом23'!G856</f>
        <v>1819.9</v>
      </c>
      <c r="H152" s="9">
        <f>'Пр.4 Ведом23'!H856</f>
        <v>1785.90571</v>
      </c>
      <c r="I152" s="102">
        <f t="shared" si="12"/>
        <v>98.132079235122802</v>
      </c>
    </row>
    <row r="153" spans="1:9" ht="31.5" x14ac:dyDescent="0.25">
      <c r="A153" s="19" t="s">
        <v>878</v>
      </c>
      <c r="B153" s="218" t="s">
        <v>763</v>
      </c>
      <c r="C153" s="217" t="s">
        <v>145</v>
      </c>
      <c r="D153" s="217" t="s">
        <v>120</v>
      </c>
      <c r="E153" s="217" t="s">
        <v>152</v>
      </c>
      <c r="F153" s="217" t="s">
        <v>238</v>
      </c>
      <c r="G153" s="9">
        <f>G152</f>
        <v>1819.9</v>
      </c>
      <c r="H153" s="9">
        <f>H152</f>
        <v>1785.90571</v>
      </c>
      <c r="I153" s="102">
        <f t="shared" si="12"/>
        <v>98.132079235122802</v>
      </c>
    </row>
    <row r="154" spans="1:9" ht="31.5" x14ac:dyDescent="0.25">
      <c r="A154" s="116" t="s">
        <v>617</v>
      </c>
      <c r="B154" s="117" t="s">
        <v>586</v>
      </c>
      <c r="C154" s="6"/>
      <c r="D154" s="6"/>
      <c r="E154" s="6"/>
      <c r="F154" s="6"/>
      <c r="G154" s="31">
        <f>G155</f>
        <v>7601.9900300000008</v>
      </c>
      <c r="H154" s="31">
        <f>H155</f>
        <v>7117.9621499999994</v>
      </c>
      <c r="I154" s="221">
        <f t="shared" si="12"/>
        <v>93.63287931068227</v>
      </c>
    </row>
    <row r="155" spans="1:9" ht="15.75" x14ac:dyDescent="0.25">
      <c r="A155" s="19" t="s">
        <v>144</v>
      </c>
      <c r="B155" s="218" t="s">
        <v>586</v>
      </c>
      <c r="C155" s="217" t="s">
        <v>145</v>
      </c>
      <c r="D155" s="217"/>
      <c r="E155" s="217"/>
      <c r="F155" s="217"/>
      <c r="G155" s="9">
        <f>G156+G170+G191</f>
        <v>7601.9900300000008</v>
      </c>
      <c r="H155" s="9">
        <f>H156+H170+H191</f>
        <v>7117.9621499999994</v>
      </c>
      <c r="I155" s="102">
        <f t="shared" si="12"/>
        <v>93.63287931068227</v>
      </c>
    </row>
    <row r="156" spans="1:9" ht="15.75" x14ac:dyDescent="0.25">
      <c r="A156" s="26" t="s">
        <v>188</v>
      </c>
      <c r="B156" s="218" t="s">
        <v>586</v>
      </c>
      <c r="C156" s="217" t="s">
        <v>145</v>
      </c>
      <c r="D156" s="217" t="s">
        <v>81</v>
      </c>
      <c r="E156" s="217"/>
      <c r="F156" s="217"/>
      <c r="G156" s="9">
        <f>G157+G161+G165</f>
        <v>5366.5420300000005</v>
      </c>
      <c r="H156" s="9">
        <f>H157+H161+H165</f>
        <v>5257.9536799999996</v>
      </c>
      <c r="I156" s="102">
        <f t="shared" si="12"/>
        <v>97.976567603626862</v>
      </c>
    </row>
    <row r="157" spans="1:9" ht="47.25" x14ac:dyDescent="0.25">
      <c r="A157" s="215" t="s">
        <v>153</v>
      </c>
      <c r="B157" s="218" t="s">
        <v>631</v>
      </c>
      <c r="C157" s="217" t="s">
        <v>145</v>
      </c>
      <c r="D157" s="217" t="s">
        <v>81</v>
      </c>
      <c r="E157" s="217"/>
      <c r="F157" s="217"/>
      <c r="G157" s="9">
        <f>G158</f>
        <v>1470.683</v>
      </c>
      <c r="H157" s="9">
        <f>H158</f>
        <v>1470.6823400000001</v>
      </c>
      <c r="I157" s="102">
        <f t="shared" si="12"/>
        <v>99.999955122891876</v>
      </c>
    </row>
    <row r="158" spans="1:9" ht="47.25" x14ac:dyDescent="0.25">
      <c r="A158" s="19" t="s">
        <v>149</v>
      </c>
      <c r="B158" s="218" t="s">
        <v>631</v>
      </c>
      <c r="C158" s="217" t="s">
        <v>145</v>
      </c>
      <c r="D158" s="217" t="s">
        <v>81</v>
      </c>
      <c r="E158" s="217" t="s">
        <v>150</v>
      </c>
      <c r="F158" s="217"/>
      <c r="G158" s="9">
        <f>'Пр.4 Ведом23'!G736</f>
        <v>1470.683</v>
      </c>
      <c r="H158" s="9">
        <f>'Пр.4 Ведом23'!H736</f>
        <v>1470.6823400000001</v>
      </c>
      <c r="I158" s="102">
        <f t="shared" si="12"/>
        <v>99.999955122891876</v>
      </c>
    </row>
    <row r="159" spans="1:9" ht="15.75" x14ac:dyDescent="0.25">
      <c r="A159" s="19" t="s">
        <v>151</v>
      </c>
      <c r="B159" s="218" t="s">
        <v>631</v>
      </c>
      <c r="C159" s="217" t="s">
        <v>145</v>
      </c>
      <c r="D159" s="217" t="s">
        <v>81</v>
      </c>
      <c r="E159" s="217" t="s">
        <v>152</v>
      </c>
      <c r="F159" s="217"/>
      <c r="G159" s="9">
        <f>G158</f>
        <v>1470.683</v>
      </c>
      <c r="H159" s="9">
        <f>H158</f>
        <v>1470.6823400000001</v>
      </c>
      <c r="I159" s="102">
        <f t="shared" si="12"/>
        <v>99.999955122891876</v>
      </c>
    </row>
    <row r="160" spans="1:9" ht="31.5" x14ac:dyDescent="0.25">
      <c r="A160" s="19" t="s">
        <v>878</v>
      </c>
      <c r="B160" s="218" t="s">
        <v>631</v>
      </c>
      <c r="C160" s="217" t="s">
        <v>145</v>
      </c>
      <c r="D160" s="217" t="s">
        <v>81</v>
      </c>
      <c r="E160" s="217" t="s">
        <v>152</v>
      </c>
      <c r="F160" s="217" t="s">
        <v>238</v>
      </c>
      <c r="G160" s="9">
        <f>G159</f>
        <v>1470.683</v>
      </c>
      <c r="H160" s="9">
        <f>H159</f>
        <v>1470.6823400000001</v>
      </c>
      <c r="I160" s="102">
        <f t="shared" si="12"/>
        <v>99.999955122891876</v>
      </c>
    </row>
    <row r="161" spans="1:9" ht="31.5" hidden="1" x14ac:dyDescent="0.25">
      <c r="A161" s="215" t="s">
        <v>855</v>
      </c>
      <c r="B161" s="218" t="s">
        <v>632</v>
      </c>
      <c r="C161" s="217" t="s">
        <v>145</v>
      </c>
      <c r="D161" s="217" t="s">
        <v>81</v>
      </c>
      <c r="E161" s="217"/>
      <c r="F161" s="217"/>
      <c r="G161" s="9">
        <f>G162</f>
        <v>0</v>
      </c>
      <c r="H161" s="9">
        <f>H162</f>
        <v>0</v>
      </c>
      <c r="I161" s="102" t="e">
        <f t="shared" si="12"/>
        <v>#DIV/0!</v>
      </c>
    </row>
    <row r="162" spans="1:9" ht="47.25" hidden="1" x14ac:dyDescent="0.25">
      <c r="A162" s="19" t="s">
        <v>149</v>
      </c>
      <c r="B162" s="218" t="s">
        <v>632</v>
      </c>
      <c r="C162" s="217" t="s">
        <v>145</v>
      </c>
      <c r="D162" s="217" t="s">
        <v>81</v>
      </c>
      <c r="E162" s="217" t="s">
        <v>150</v>
      </c>
      <c r="F162" s="217"/>
      <c r="G162" s="9">
        <f>G163</f>
        <v>0</v>
      </c>
      <c r="H162" s="9">
        <f>H163</f>
        <v>0</v>
      </c>
      <c r="I162" s="102" t="e">
        <f t="shared" si="12"/>
        <v>#DIV/0!</v>
      </c>
    </row>
    <row r="163" spans="1:9" ht="15.75" hidden="1" x14ac:dyDescent="0.25">
      <c r="A163" s="19" t="s">
        <v>151</v>
      </c>
      <c r="B163" s="218" t="s">
        <v>632</v>
      </c>
      <c r="C163" s="217" t="s">
        <v>145</v>
      </c>
      <c r="D163" s="217" t="s">
        <v>81</v>
      </c>
      <c r="E163" s="217" t="s">
        <v>152</v>
      </c>
      <c r="F163" s="217"/>
      <c r="G163" s="9">
        <f>'Пр.4 Ведом23'!G739</f>
        <v>0</v>
      </c>
      <c r="H163" s="9">
        <f>'Пр.4 Ведом23'!H739</f>
        <v>0</v>
      </c>
      <c r="I163" s="102" t="e">
        <f t="shared" si="12"/>
        <v>#DIV/0!</v>
      </c>
    </row>
    <row r="164" spans="1:9" ht="31.5" hidden="1" x14ac:dyDescent="0.25">
      <c r="A164" s="19" t="s">
        <v>878</v>
      </c>
      <c r="B164" s="218" t="s">
        <v>632</v>
      </c>
      <c r="C164" s="217" t="s">
        <v>145</v>
      </c>
      <c r="D164" s="217" t="s">
        <v>81</v>
      </c>
      <c r="E164" s="217" t="s">
        <v>152</v>
      </c>
      <c r="F164" s="217" t="s">
        <v>238</v>
      </c>
      <c r="G164" s="9">
        <f>G163</f>
        <v>0</v>
      </c>
      <c r="H164" s="9">
        <f>H163</f>
        <v>0</v>
      </c>
      <c r="I164" s="102" t="e">
        <f t="shared" si="12"/>
        <v>#DIV/0!</v>
      </c>
    </row>
    <row r="165" spans="1:9" ht="31.5" x14ac:dyDescent="0.25">
      <c r="A165" s="19" t="s">
        <v>858</v>
      </c>
      <c r="B165" s="218" t="s">
        <v>587</v>
      </c>
      <c r="C165" s="217" t="s">
        <v>145</v>
      </c>
      <c r="D165" s="217" t="s">
        <v>81</v>
      </c>
      <c r="E165" s="217"/>
      <c r="F165" s="217"/>
      <c r="G165" s="9">
        <f>G166</f>
        <v>3895.8590300000005</v>
      </c>
      <c r="H165" s="9">
        <f>H166</f>
        <v>3787.2713399999998</v>
      </c>
      <c r="I165" s="102">
        <f t="shared" si="12"/>
        <v>97.21274078030487</v>
      </c>
    </row>
    <row r="166" spans="1:9" ht="47.25" x14ac:dyDescent="0.25">
      <c r="A166" s="19" t="s">
        <v>149</v>
      </c>
      <c r="B166" s="218" t="s">
        <v>587</v>
      </c>
      <c r="C166" s="217" t="s">
        <v>145</v>
      </c>
      <c r="D166" s="217" t="s">
        <v>81</v>
      </c>
      <c r="E166" s="217" t="s">
        <v>150</v>
      </c>
      <c r="F166" s="217"/>
      <c r="G166" s="9">
        <f>G167</f>
        <v>3895.8590300000005</v>
      </c>
      <c r="H166" s="9">
        <f>H167</f>
        <v>3787.2713399999998</v>
      </c>
      <c r="I166" s="102">
        <f t="shared" si="12"/>
        <v>97.21274078030487</v>
      </c>
    </row>
    <row r="167" spans="1:9" ht="15.75" x14ac:dyDescent="0.25">
      <c r="A167" s="19" t="s">
        <v>151</v>
      </c>
      <c r="B167" s="218" t="s">
        <v>587</v>
      </c>
      <c r="C167" s="217" t="s">
        <v>145</v>
      </c>
      <c r="D167" s="217" t="s">
        <v>81</v>
      </c>
      <c r="E167" s="217" t="s">
        <v>152</v>
      </c>
      <c r="F167" s="217"/>
      <c r="G167" s="9">
        <f>'Пр.4 Ведом23'!G742</f>
        <v>3895.8590300000005</v>
      </c>
      <c r="H167" s="9">
        <f>'Пр.4 Ведом23'!H742</f>
        <v>3787.2713399999998</v>
      </c>
      <c r="I167" s="102">
        <f t="shared" si="12"/>
        <v>97.21274078030487</v>
      </c>
    </row>
    <row r="168" spans="1:9" ht="31.5" x14ac:dyDescent="0.25">
      <c r="A168" s="19" t="s">
        <v>878</v>
      </c>
      <c r="B168" s="218" t="s">
        <v>587</v>
      </c>
      <c r="C168" s="217" t="s">
        <v>145</v>
      </c>
      <c r="D168" s="217" t="s">
        <v>81</v>
      </c>
      <c r="E168" s="217" t="s">
        <v>152</v>
      </c>
      <c r="F168" s="217" t="s">
        <v>238</v>
      </c>
      <c r="G168" s="9">
        <f>G167</f>
        <v>3895.8590300000005</v>
      </c>
      <c r="H168" s="9">
        <f>H167</f>
        <v>3787.2713399999998</v>
      </c>
      <c r="I168" s="102">
        <f t="shared" si="12"/>
        <v>97.21274078030487</v>
      </c>
    </row>
    <row r="169" spans="1:9" ht="15.75" hidden="1" x14ac:dyDescent="0.25">
      <c r="A169" s="19" t="s">
        <v>144</v>
      </c>
      <c r="B169" s="217" t="s">
        <v>586</v>
      </c>
      <c r="C169" s="217" t="s">
        <v>145</v>
      </c>
      <c r="D169" s="217"/>
      <c r="E169" s="217"/>
      <c r="F169" s="217"/>
      <c r="G169" s="9">
        <f>G170</f>
        <v>2235.4479999999999</v>
      </c>
      <c r="H169" s="9">
        <f>H170</f>
        <v>1860.0084700000002</v>
      </c>
      <c r="I169" s="102">
        <f t="shared" si="12"/>
        <v>83.205177217273686</v>
      </c>
    </row>
    <row r="170" spans="1:9" ht="15.75" x14ac:dyDescent="0.25">
      <c r="A170" s="19" t="s">
        <v>190</v>
      </c>
      <c r="B170" s="217" t="s">
        <v>586</v>
      </c>
      <c r="C170" s="217" t="s">
        <v>145</v>
      </c>
      <c r="D170" s="217" t="s">
        <v>119</v>
      </c>
      <c r="E170" s="217"/>
      <c r="F170" s="217"/>
      <c r="G170" s="9">
        <f>G171+G175+G179+G183+G187</f>
        <v>2235.4479999999999</v>
      </c>
      <c r="H170" s="9">
        <f>H171+H175+H179+H183+H187</f>
        <v>1860.0084700000002</v>
      </c>
      <c r="I170" s="102">
        <f t="shared" si="12"/>
        <v>83.205177217273686</v>
      </c>
    </row>
    <row r="171" spans="1:9" ht="47.25" hidden="1" x14ac:dyDescent="0.25">
      <c r="A171" s="215" t="s">
        <v>192</v>
      </c>
      <c r="B171" s="218" t="s">
        <v>630</v>
      </c>
      <c r="C171" s="217" t="s">
        <v>145</v>
      </c>
      <c r="D171" s="217" t="s">
        <v>119</v>
      </c>
      <c r="E171" s="217"/>
      <c r="F171" s="217"/>
      <c r="G171" s="9">
        <f>G172</f>
        <v>0</v>
      </c>
      <c r="H171" s="9">
        <f>H172</f>
        <v>0</v>
      </c>
      <c r="I171" s="102" t="e">
        <f t="shared" si="12"/>
        <v>#DIV/0!</v>
      </c>
    </row>
    <row r="172" spans="1:9" ht="47.25" hidden="1" x14ac:dyDescent="0.25">
      <c r="A172" s="215" t="s">
        <v>149</v>
      </c>
      <c r="B172" s="218" t="s">
        <v>630</v>
      </c>
      <c r="C172" s="217" t="s">
        <v>145</v>
      </c>
      <c r="D172" s="217" t="s">
        <v>119</v>
      </c>
      <c r="E172" s="217" t="s">
        <v>150</v>
      </c>
      <c r="F172" s="217"/>
      <c r="G172" s="9">
        <f>G173</f>
        <v>0</v>
      </c>
      <c r="H172" s="9">
        <f>H173</f>
        <v>0</v>
      </c>
      <c r="I172" s="102" t="e">
        <f t="shared" si="12"/>
        <v>#DIV/0!</v>
      </c>
    </row>
    <row r="173" spans="1:9" ht="15.75" hidden="1" x14ac:dyDescent="0.25">
      <c r="A173" s="215" t="s">
        <v>151</v>
      </c>
      <c r="B173" s="218" t="s">
        <v>630</v>
      </c>
      <c r="C173" s="217" t="s">
        <v>145</v>
      </c>
      <c r="D173" s="217" t="s">
        <v>119</v>
      </c>
      <c r="E173" s="217" t="s">
        <v>152</v>
      </c>
      <c r="F173" s="217"/>
      <c r="G173" s="9">
        <f>'Пр.4 Ведом23'!G790</f>
        <v>0</v>
      </c>
      <c r="H173" s="9">
        <f>'Пр.4 Ведом23'!H790</f>
        <v>0</v>
      </c>
      <c r="I173" s="102" t="e">
        <f t="shared" si="12"/>
        <v>#DIV/0!</v>
      </c>
    </row>
    <row r="174" spans="1:9" ht="31.5" hidden="1" x14ac:dyDescent="0.25">
      <c r="A174" s="19" t="s">
        <v>878</v>
      </c>
      <c r="B174" s="218" t="s">
        <v>630</v>
      </c>
      <c r="C174" s="217" t="s">
        <v>145</v>
      </c>
      <c r="D174" s="217" t="s">
        <v>119</v>
      </c>
      <c r="E174" s="217" t="s">
        <v>152</v>
      </c>
      <c r="F174" s="217" t="s">
        <v>238</v>
      </c>
      <c r="G174" s="9">
        <f>G173</f>
        <v>0</v>
      </c>
      <c r="H174" s="9">
        <f>H173</f>
        <v>0</v>
      </c>
      <c r="I174" s="102" t="e">
        <f t="shared" si="12"/>
        <v>#DIV/0!</v>
      </c>
    </row>
    <row r="175" spans="1:9" ht="47.25" x14ac:dyDescent="0.25">
      <c r="A175" s="215" t="s">
        <v>153</v>
      </c>
      <c r="B175" s="218" t="s">
        <v>631</v>
      </c>
      <c r="C175" s="217" t="s">
        <v>145</v>
      </c>
      <c r="D175" s="217" t="s">
        <v>119</v>
      </c>
      <c r="E175" s="217"/>
      <c r="F175" s="217"/>
      <c r="G175" s="9">
        <f>G176</f>
        <v>2002.9699999999998</v>
      </c>
      <c r="H175" s="9">
        <f>H176</f>
        <v>1657.63067</v>
      </c>
      <c r="I175" s="102">
        <f t="shared" si="12"/>
        <v>82.758636924167618</v>
      </c>
    </row>
    <row r="176" spans="1:9" ht="47.25" x14ac:dyDescent="0.25">
      <c r="A176" s="215" t="s">
        <v>149</v>
      </c>
      <c r="B176" s="218" t="s">
        <v>631</v>
      </c>
      <c r="C176" s="217" t="s">
        <v>145</v>
      </c>
      <c r="D176" s="217" t="s">
        <v>119</v>
      </c>
      <c r="E176" s="217" t="s">
        <v>150</v>
      </c>
      <c r="F176" s="217"/>
      <c r="G176" s="9">
        <f>G177</f>
        <v>2002.9699999999998</v>
      </c>
      <c r="H176" s="9">
        <f>H177</f>
        <v>1657.63067</v>
      </c>
      <c r="I176" s="102">
        <f t="shared" si="12"/>
        <v>82.758636924167618</v>
      </c>
    </row>
    <row r="177" spans="1:14" ht="15.75" x14ac:dyDescent="0.25">
      <c r="A177" s="215" t="s">
        <v>151</v>
      </c>
      <c r="B177" s="218" t="s">
        <v>631</v>
      </c>
      <c r="C177" s="217" t="s">
        <v>145</v>
      </c>
      <c r="D177" s="217" t="s">
        <v>119</v>
      </c>
      <c r="E177" s="217" t="s">
        <v>152</v>
      </c>
      <c r="F177" s="217"/>
      <c r="G177" s="9">
        <f>'Пр.4 Ведом23'!G793</f>
        <v>2002.9699999999998</v>
      </c>
      <c r="H177" s="9">
        <f>'Пр.4 Ведом23'!H793</f>
        <v>1657.63067</v>
      </c>
      <c r="I177" s="102">
        <f t="shared" si="12"/>
        <v>82.758636924167618</v>
      </c>
    </row>
    <row r="178" spans="1:14" ht="31.5" x14ac:dyDescent="0.25">
      <c r="A178" s="19" t="s">
        <v>878</v>
      </c>
      <c r="B178" s="218" t="s">
        <v>631</v>
      </c>
      <c r="C178" s="217" t="s">
        <v>145</v>
      </c>
      <c r="D178" s="217" t="s">
        <v>119</v>
      </c>
      <c r="E178" s="217" t="s">
        <v>152</v>
      </c>
      <c r="F178" s="217" t="s">
        <v>238</v>
      </c>
      <c r="G178" s="9">
        <f>G177</f>
        <v>2002.9699999999998</v>
      </c>
      <c r="H178" s="9">
        <f>H177</f>
        <v>1657.63067</v>
      </c>
      <c r="I178" s="102">
        <f t="shared" si="12"/>
        <v>82.758636924167618</v>
      </c>
    </row>
    <row r="179" spans="1:14" ht="31.5" hidden="1" x14ac:dyDescent="0.25">
      <c r="A179" s="215" t="s">
        <v>855</v>
      </c>
      <c r="B179" s="218" t="s">
        <v>632</v>
      </c>
      <c r="C179" s="217" t="s">
        <v>145</v>
      </c>
      <c r="D179" s="217" t="s">
        <v>119</v>
      </c>
      <c r="E179" s="217"/>
      <c r="F179" s="217"/>
      <c r="G179" s="9">
        <f>G180</f>
        <v>0</v>
      </c>
      <c r="H179" s="9">
        <f>H180</f>
        <v>0</v>
      </c>
      <c r="I179" s="102" t="e">
        <f t="shared" si="12"/>
        <v>#DIV/0!</v>
      </c>
    </row>
    <row r="180" spans="1:14" ht="47.25" hidden="1" x14ac:dyDescent="0.25">
      <c r="A180" s="215" t="s">
        <v>149</v>
      </c>
      <c r="B180" s="218" t="s">
        <v>632</v>
      </c>
      <c r="C180" s="217" t="s">
        <v>145</v>
      </c>
      <c r="D180" s="217" t="s">
        <v>119</v>
      </c>
      <c r="E180" s="217" t="s">
        <v>150</v>
      </c>
      <c r="F180" s="217"/>
      <c r="G180" s="9">
        <f>G181</f>
        <v>0</v>
      </c>
      <c r="H180" s="9">
        <f>H181</f>
        <v>0</v>
      </c>
      <c r="I180" s="102" t="e">
        <f t="shared" si="12"/>
        <v>#DIV/0!</v>
      </c>
    </row>
    <row r="181" spans="1:14" ht="15.75" hidden="1" x14ac:dyDescent="0.25">
      <c r="A181" s="215" t="s">
        <v>151</v>
      </c>
      <c r="B181" s="218" t="s">
        <v>632</v>
      </c>
      <c r="C181" s="217" t="s">
        <v>145</v>
      </c>
      <c r="D181" s="217" t="s">
        <v>119</v>
      </c>
      <c r="E181" s="217" t="s">
        <v>152</v>
      </c>
      <c r="F181" s="217"/>
      <c r="G181" s="9">
        <f>'Пр.4 Ведом23'!G796</f>
        <v>0</v>
      </c>
      <c r="H181" s="9">
        <f>'Пр.4 Ведом23'!H796</f>
        <v>0</v>
      </c>
      <c r="I181" s="102" t="e">
        <f t="shared" si="12"/>
        <v>#DIV/0!</v>
      </c>
    </row>
    <row r="182" spans="1:14" ht="31.5" hidden="1" x14ac:dyDescent="0.25">
      <c r="A182" s="19" t="s">
        <v>878</v>
      </c>
      <c r="B182" s="218" t="s">
        <v>632</v>
      </c>
      <c r="C182" s="217" t="s">
        <v>145</v>
      </c>
      <c r="D182" s="217" t="s">
        <v>119</v>
      </c>
      <c r="E182" s="217" t="s">
        <v>152</v>
      </c>
      <c r="F182" s="217" t="s">
        <v>238</v>
      </c>
      <c r="G182" s="9">
        <f>G181</f>
        <v>0</v>
      </c>
      <c r="H182" s="9">
        <f>H181</f>
        <v>0</v>
      </c>
      <c r="I182" s="102" t="e">
        <f t="shared" si="12"/>
        <v>#DIV/0!</v>
      </c>
    </row>
    <row r="183" spans="1:14" ht="47.25" x14ac:dyDescent="0.25">
      <c r="A183" s="215" t="s">
        <v>154</v>
      </c>
      <c r="B183" s="218" t="s">
        <v>596</v>
      </c>
      <c r="C183" s="217" t="s">
        <v>145</v>
      </c>
      <c r="D183" s="217" t="s">
        <v>119</v>
      </c>
      <c r="E183" s="217"/>
      <c r="F183" s="217"/>
      <c r="G183" s="9">
        <f>G184</f>
        <v>165.49999999999997</v>
      </c>
      <c r="H183" s="9">
        <f>H184</f>
        <v>135.4</v>
      </c>
      <c r="I183" s="102">
        <f t="shared" si="12"/>
        <v>81.812688821752289</v>
      </c>
    </row>
    <row r="184" spans="1:14" ht="47.25" x14ac:dyDescent="0.25">
      <c r="A184" s="19" t="s">
        <v>149</v>
      </c>
      <c r="B184" s="218" t="s">
        <v>596</v>
      </c>
      <c r="C184" s="217" t="s">
        <v>145</v>
      </c>
      <c r="D184" s="217" t="s">
        <v>119</v>
      </c>
      <c r="E184" s="217" t="s">
        <v>150</v>
      </c>
      <c r="F184" s="217"/>
      <c r="G184" s="9">
        <f>G185</f>
        <v>165.49999999999997</v>
      </c>
      <c r="H184" s="9">
        <f>H185</f>
        <v>135.4</v>
      </c>
      <c r="I184" s="102">
        <f t="shared" si="12"/>
        <v>81.812688821752289</v>
      </c>
    </row>
    <row r="185" spans="1:14" ht="15.75" x14ac:dyDescent="0.25">
      <c r="A185" s="19" t="s">
        <v>151</v>
      </c>
      <c r="B185" s="218" t="s">
        <v>596</v>
      </c>
      <c r="C185" s="217" t="s">
        <v>145</v>
      </c>
      <c r="D185" s="217" t="s">
        <v>119</v>
      </c>
      <c r="E185" s="217" t="s">
        <v>152</v>
      </c>
      <c r="F185" s="217"/>
      <c r="G185" s="9">
        <f>'Пр.4 Ведом23'!G799</f>
        <v>165.49999999999997</v>
      </c>
      <c r="H185" s="9">
        <f>'Пр.4 Ведом23'!H799</f>
        <v>135.4</v>
      </c>
      <c r="I185" s="102">
        <f t="shared" si="12"/>
        <v>81.812688821752289</v>
      </c>
      <c r="K185" s="234"/>
    </row>
    <row r="186" spans="1:14" ht="31.5" x14ac:dyDescent="0.25">
      <c r="A186" s="19" t="s">
        <v>878</v>
      </c>
      <c r="B186" s="218" t="s">
        <v>596</v>
      </c>
      <c r="C186" s="217" t="s">
        <v>145</v>
      </c>
      <c r="D186" s="217" t="s">
        <v>119</v>
      </c>
      <c r="E186" s="217" t="s">
        <v>152</v>
      </c>
      <c r="F186" s="217" t="s">
        <v>238</v>
      </c>
      <c r="G186" s="9">
        <f>G185</f>
        <v>165.49999999999997</v>
      </c>
      <c r="H186" s="9">
        <f>H185</f>
        <v>135.4</v>
      </c>
      <c r="I186" s="102">
        <f t="shared" si="12"/>
        <v>81.812688821752289</v>
      </c>
    </row>
    <row r="187" spans="1:14" s="332" customFormat="1" ht="47.25" x14ac:dyDescent="0.25">
      <c r="A187" s="310" t="s">
        <v>1090</v>
      </c>
      <c r="B187" s="334" t="s">
        <v>1091</v>
      </c>
      <c r="C187" s="217" t="s">
        <v>145</v>
      </c>
      <c r="D187" s="217" t="s">
        <v>119</v>
      </c>
      <c r="E187" s="217"/>
      <c r="F187" s="217"/>
      <c r="G187" s="9">
        <f>G188</f>
        <v>66.977999999999994</v>
      </c>
      <c r="H187" s="9">
        <f>H188</f>
        <v>66.977800000000002</v>
      </c>
      <c r="I187" s="102">
        <f t="shared" si="12"/>
        <v>99.999701394487744</v>
      </c>
      <c r="J187" s="125"/>
      <c r="K187" s="125"/>
      <c r="L187" s="125"/>
      <c r="M187" s="125"/>
      <c r="N187" s="125"/>
    </row>
    <row r="188" spans="1:14" s="332" customFormat="1" ht="47.25" x14ac:dyDescent="0.25">
      <c r="A188" s="335" t="s">
        <v>149</v>
      </c>
      <c r="B188" s="334" t="s">
        <v>1091</v>
      </c>
      <c r="C188" s="217" t="s">
        <v>145</v>
      </c>
      <c r="D188" s="217" t="s">
        <v>119</v>
      </c>
      <c r="E188" s="217" t="s">
        <v>150</v>
      </c>
      <c r="F188" s="217"/>
      <c r="G188" s="9">
        <f>G189</f>
        <v>66.977999999999994</v>
      </c>
      <c r="H188" s="9">
        <f>H189</f>
        <v>66.977800000000002</v>
      </c>
      <c r="I188" s="102">
        <f t="shared" si="12"/>
        <v>99.999701394487744</v>
      </c>
      <c r="J188" s="125"/>
      <c r="K188" s="125"/>
      <c r="L188" s="125"/>
      <c r="M188" s="125"/>
      <c r="N188" s="125"/>
    </row>
    <row r="189" spans="1:14" s="332" customFormat="1" ht="15.75" x14ac:dyDescent="0.25">
      <c r="A189" s="335" t="s">
        <v>151</v>
      </c>
      <c r="B189" s="334" t="s">
        <v>1091</v>
      </c>
      <c r="C189" s="217" t="s">
        <v>145</v>
      </c>
      <c r="D189" s="217" t="s">
        <v>119</v>
      </c>
      <c r="E189" s="217" t="s">
        <v>152</v>
      </c>
      <c r="F189" s="217"/>
      <c r="G189" s="9">
        <f>'Пр.4 Ведом23'!G802</f>
        <v>66.977999999999994</v>
      </c>
      <c r="H189" s="9">
        <f>'Пр.4 Ведом23'!H802</f>
        <v>66.977800000000002</v>
      </c>
      <c r="I189" s="102">
        <f t="shared" si="12"/>
        <v>99.999701394487744</v>
      </c>
      <c r="J189" s="125"/>
      <c r="K189" s="125"/>
      <c r="L189" s="125"/>
      <c r="M189" s="125"/>
      <c r="N189" s="125"/>
    </row>
    <row r="190" spans="1:14" s="332" customFormat="1" ht="31.5" x14ac:dyDescent="0.25">
      <c r="A190" s="19" t="s">
        <v>878</v>
      </c>
      <c r="B190" s="334" t="s">
        <v>1091</v>
      </c>
      <c r="C190" s="217" t="s">
        <v>145</v>
      </c>
      <c r="D190" s="217" t="s">
        <v>119</v>
      </c>
      <c r="E190" s="217" t="s">
        <v>152</v>
      </c>
      <c r="F190" s="217" t="s">
        <v>238</v>
      </c>
      <c r="G190" s="9">
        <f>G189</f>
        <v>66.977999999999994</v>
      </c>
      <c r="H190" s="9">
        <f>H189</f>
        <v>66.977800000000002</v>
      </c>
      <c r="I190" s="102">
        <f t="shared" si="12"/>
        <v>99.999701394487744</v>
      </c>
      <c r="J190" s="125"/>
      <c r="K190" s="125"/>
      <c r="L190" s="125"/>
      <c r="M190" s="125"/>
      <c r="N190" s="125"/>
    </row>
    <row r="191" spans="1:14" ht="15.75" hidden="1" x14ac:dyDescent="0.25">
      <c r="A191" s="19" t="s">
        <v>146</v>
      </c>
      <c r="B191" s="218" t="s">
        <v>586</v>
      </c>
      <c r="C191" s="217" t="s">
        <v>145</v>
      </c>
      <c r="D191" s="217" t="s">
        <v>120</v>
      </c>
      <c r="E191" s="217"/>
      <c r="F191" s="217"/>
      <c r="G191" s="9">
        <f t="shared" ref="G191:H193" si="14">G192</f>
        <v>0</v>
      </c>
      <c r="H191" s="9">
        <f t="shared" si="14"/>
        <v>0</v>
      </c>
      <c r="I191" s="102" t="e">
        <f t="shared" si="12"/>
        <v>#DIV/0!</v>
      </c>
    </row>
    <row r="192" spans="1:14" ht="31.5" hidden="1" x14ac:dyDescent="0.25">
      <c r="A192" s="26" t="s">
        <v>263</v>
      </c>
      <c r="B192" s="218" t="s">
        <v>637</v>
      </c>
      <c r="C192" s="217" t="s">
        <v>145</v>
      </c>
      <c r="D192" s="217" t="s">
        <v>120</v>
      </c>
      <c r="E192" s="217"/>
      <c r="F192" s="217"/>
      <c r="G192" s="9">
        <f t="shared" si="14"/>
        <v>0</v>
      </c>
      <c r="H192" s="9">
        <f t="shared" si="14"/>
        <v>0</v>
      </c>
      <c r="I192" s="102" t="e">
        <f t="shared" si="12"/>
        <v>#DIV/0!</v>
      </c>
    </row>
    <row r="193" spans="1:9" ht="47.25" hidden="1" x14ac:dyDescent="0.25">
      <c r="A193" s="20" t="s">
        <v>149</v>
      </c>
      <c r="B193" s="218" t="s">
        <v>637</v>
      </c>
      <c r="C193" s="217" t="s">
        <v>145</v>
      </c>
      <c r="D193" s="217" t="s">
        <v>120</v>
      </c>
      <c r="E193" s="217" t="s">
        <v>150</v>
      </c>
      <c r="F193" s="217"/>
      <c r="G193" s="9">
        <f t="shared" si="14"/>
        <v>0</v>
      </c>
      <c r="H193" s="9">
        <f t="shared" si="14"/>
        <v>0</v>
      </c>
      <c r="I193" s="102" t="e">
        <f t="shared" si="12"/>
        <v>#DIV/0!</v>
      </c>
    </row>
    <row r="194" spans="1:9" ht="15.75" hidden="1" x14ac:dyDescent="0.25">
      <c r="A194" s="20" t="s">
        <v>151</v>
      </c>
      <c r="B194" s="218" t="s">
        <v>637</v>
      </c>
      <c r="C194" s="217" t="s">
        <v>145</v>
      </c>
      <c r="D194" s="217" t="s">
        <v>120</v>
      </c>
      <c r="E194" s="217" t="s">
        <v>152</v>
      </c>
      <c r="F194" s="217"/>
      <c r="G194" s="9">
        <f>'Пр.4 Ведом23'!G860</f>
        <v>0</v>
      </c>
      <c r="H194" s="9">
        <f>'Пр.4 Ведом23'!H860</f>
        <v>0</v>
      </c>
      <c r="I194" s="102" t="e">
        <f t="shared" si="12"/>
        <v>#DIV/0!</v>
      </c>
    </row>
    <row r="195" spans="1:9" ht="31.5" hidden="1" x14ac:dyDescent="0.25">
      <c r="A195" s="19" t="s">
        <v>878</v>
      </c>
      <c r="B195" s="218" t="s">
        <v>637</v>
      </c>
      <c r="C195" s="217" t="s">
        <v>145</v>
      </c>
      <c r="D195" s="217" t="s">
        <v>120</v>
      </c>
      <c r="E195" s="217" t="s">
        <v>152</v>
      </c>
      <c r="F195" s="217" t="s">
        <v>238</v>
      </c>
      <c r="G195" s="9">
        <f>G194</f>
        <v>0</v>
      </c>
      <c r="H195" s="9">
        <f>H194</f>
        <v>0</v>
      </c>
      <c r="I195" s="102" t="e">
        <f t="shared" si="12"/>
        <v>#DIV/0!</v>
      </c>
    </row>
    <row r="196" spans="1:9" ht="31.5" x14ac:dyDescent="0.25">
      <c r="A196" s="116" t="s">
        <v>377</v>
      </c>
      <c r="B196" s="117" t="s">
        <v>588</v>
      </c>
      <c r="C196" s="6"/>
      <c r="D196" s="6"/>
      <c r="E196" s="6"/>
      <c r="F196" s="6"/>
      <c r="G196" s="31">
        <f t="shared" ref="G196:H200" si="15">G197</f>
        <v>8247.3869299999969</v>
      </c>
      <c r="H196" s="31">
        <f t="shared" si="15"/>
        <v>8057.9157100000002</v>
      </c>
      <c r="I196" s="221">
        <f t="shared" si="12"/>
        <v>97.702651499097342</v>
      </c>
    </row>
    <row r="197" spans="1:9" ht="15.75" x14ac:dyDescent="0.25">
      <c r="A197" s="19" t="s">
        <v>144</v>
      </c>
      <c r="B197" s="218" t="s">
        <v>588</v>
      </c>
      <c r="C197" s="217" t="s">
        <v>145</v>
      </c>
      <c r="D197" s="217"/>
      <c r="E197" s="217"/>
      <c r="F197" s="217"/>
      <c r="G197" s="9">
        <f t="shared" si="15"/>
        <v>8247.3869299999969</v>
      </c>
      <c r="H197" s="9">
        <f t="shared" si="15"/>
        <v>8057.9157100000002</v>
      </c>
      <c r="I197" s="102">
        <f t="shared" si="12"/>
        <v>97.702651499097342</v>
      </c>
    </row>
    <row r="198" spans="1:9" ht="15.75" x14ac:dyDescent="0.25">
      <c r="A198" s="215" t="s">
        <v>157</v>
      </c>
      <c r="B198" s="218" t="s">
        <v>588</v>
      </c>
      <c r="C198" s="217" t="s">
        <v>145</v>
      </c>
      <c r="D198" s="217" t="s">
        <v>122</v>
      </c>
      <c r="E198" s="217"/>
      <c r="F198" s="217"/>
      <c r="G198" s="9">
        <f t="shared" si="15"/>
        <v>8247.3869299999969</v>
      </c>
      <c r="H198" s="9">
        <f t="shared" si="15"/>
        <v>8057.9157100000002</v>
      </c>
      <c r="I198" s="102">
        <f t="shared" si="12"/>
        <v>97.702651499097342</v>
      </c>
    </row>
    <row r="199" spans="1:9" ht="47.25" x14ac:dyDescent="0.25">
      <c r="A199" s="20" t="s">
        <v>479</v>
      </c>
      <c r="B199" s="218" t="s">
        <v>842</v>
      </c>
      <c r="C199" s="217" t="s">
        <v>145</v>
      </c>
      <c r="D199" s="217" t="s">
        <v>122</v>
      </c>
      <c r="E199" s="217"/>
      <c r="F199" s="217"/>
      <c r="G199" s="9">
        <f t="shared" si="15"/>
        <v>8247.3869299999969</v>
      </c>
      <c r="H199" s="9">
        <f t="shared" si="15"/>
        <v>8057.9157100000002</v>
      </c>
      <c r="I199" s="102">
        <f t="shared" si="12"/>
        <v>97.702651499097342</v>
      </c>
    </row>
    <row r="200" spans="1:9" ht="47.25" x14ac:dyDescent="0.25">
      <c r="A200" s="215" t="s">
        <v>149</v>
      </c>
      <c r="B200" s="218" t="s">
        <v>842</v>
      </c>
      <c r="C200" s="217" t="s">
        <v>145</v>
      </c>
      <c r="D200" s="217" t="s">
        <v>122</v>
      </c>
      <c r="E200" s="217" t="s">
        <v>150</v>
      </c>
      <c r="F200" s="217"/>
      <c r="G200" s="114">
        <f t="shared" si="15"/>
        <v>8247.3869299999969</v>
      </c>
      <c r="H200" s="114">
        <f t="shared" si="15"/>
        <v>8057.9157100000002</v>
      </c>
      <c r="I200" s="102">
        <f t="shared" si="12"/>
        <v>97.702651499097342</v>
      </c>
    </row>
    <row r="201" spans="1:9" ht="15.75" x14ac:dyDescent="0.25">
      <c r="A201" s="215" t="s">
        <v>151</v>
      </c>
      <c r="B201" s="218" t="s">
        <v>842</v>
      </c>
      <c r="C201" s="217" t="s">
        <v>145</v>
      </c>
      <c r="D201" s="217" t="s">
        <v>122</v>
      </c>
      <c r="E201" s="217" t="s">
        <v>152</v>
      </c>
      <c r="F201" s="217"/>
      <c r="G201" s="9">
        <f>'Пр.4 Ведом23'!G934</f>
        <v>8247.3869299999969</v>
      </c>
      <c r="H201" s="9">
        <f>'Пр.4 Ведом23'!H934</f>
        <v>8057.9157100000002</v>
      </c>
      <c r="I201" s="102">
        <f t="shared" si="12"/>
        <v>97.702651499097342</v>
      </c>
    </row>
    <row r="202" spans="1:9" ht="31.5" x14ac:dyDescent="0.25">
      <c r="A202" s="19" t="s">
        <v>878</v>
      </c>
      <c r="B202" s="218" t="s">
        <v>842</v>
      </c>
      <c r="C202" s="217" t="s">
        <v>145</v>
      </c>
      <c r="D202" s="217" t="s">
        <v>122</v>
      </c>
      <c r="E202" s="217" t="s">
        <v>152</v>
      </c>
      <c r="F202" s="217" t="s">
        <v>238</v>
      </c>
      <c r="G202" s="9">
        <f>G201</f>
        <v>8247.3869299999969</v>
      </c>
      <c r="H202" s="9">
        <f>H201</f>
        <v>8057.9157100000002</v>
      </c>
      <c r="I202" s="102">
        <f t="shared" ref="I202:I265" si="16">H202/G202*100</f>
        <v>97.702651499097342</v>
      </c>
    </row>
    <row r="203" spans="1:9" ht="47.25" x14ac:dyDescent="0.25">
      <c r="A203" s="80" t="s">
        <v>381</v>
      </c>
      <c r="B203" s="117" t="s">
        <v>589</v>
      </c>
      <c r="C203" s="6"/>
      <c r="D203" s="6"/>
      <c r="E203" s="6"/>
      <c r="F203" s="6"/>
      <c r="G203" s="113">
        <f>G204</f>
        <v>7160.5628799999995</v>
      </c>
      <c r="H203" s="113">
        <f>H204</f>
        <v>6926.75803</v>
      </c>
      <c r="I203" s="221">
        <f t="shared" si="16"/>
        <v>96.734825824195553</v>
      </c>
    </row>
    <row r="204" spans="1:9" ht="15.75" x14ac:dyDescent="0.25">
      <c r="A204" s="19" t="s">
        <v>144</v>
      </c>
      <c r="B204" s="218" t="s">
        <v>589</v>
      </c>
      <c r="C204" s="217" t="s">
        <v>145</v>
      </c>
      <c r="D204" s="217"/>
      <c r="E204" s="217"/>
      <c r="F204" s="217"/>
      <c r="G204" s="114">
        <f>G205+G218+G232</f>
        <v>7160.5628799999995</v>
      </c>
      <c r="H204" s="114">
        <f>H205+H218+H232</f>
        <v>6926.75803</v>
      </c>
      <c r="I204" s="102">
        <f t="shared" si="16"/>
        <v>96.734825824195553</v>
      </c>
    </row>
    <row r="205" spans="1:9" ht="15.75" x14ac:dyDescent="0.25">
      <c r="A205" s="26" t="s">
        <v>188</v>
      </c>
      <c r="B205" s="218" t="s">
        <v>589</v>
      </c>
      <c r="C205" s="217" t="s">
        <v>145</v>
      </c>
      <c r="D205" s="217" t="s">
        <v>81</v>
      </c>
      <c r="E205" s="217"/>
      <c r="F205" s="217"/>
      <c r="G205" s="114">
        <f>G206+G210+G214</f>
        <v>2600.0997699999998</v>
      </c>
      <c r="H205" s="114">
        <f>H206+H210+H214</f>
        <v>2551.6911599999999</v>
      </c>
      <c r="I205" s="102">
        <f t="shared" si="16"/>
        <v>98.138201827539874</v>
      </c>
    </row>
    <row r="206" spans="1:9" ht="31.5" hidden="1" x14ac:dyDescent="0.25">
      <c r="A206" s="19" t="s">
        <v>155</v>
      </c>
      <c r="B206" s="218" t="s">
        <v>597</v>
      </c>
      <c r="C206" s="217" t="s">
        <v>145</v>
      </c>
      <c r="D206" s="217" t="s">
        <v>81</v>
      </c>
      <c r="E206" s="217"/>
      <c r="F206" s="217"/>
      <c r="G206" s="9">
        <f>G207</f>
        <v>94.49</v>
      </c>
      <c r="H206" s="9">
        <f>H207</f>
        <v>94.49</v>
      </c>
      <c r="I206" s="102">
        <f t="shared" si="16"/>
        <v>100</v>
      </c>
    </row>
    <row r="207" spans="1:9" ht="47.25" hidden="1" x14ac:dyDescent="0.25">
      <c r="A207" s="19" t="s">
        <v>149</v>
      </c>
      <c r="B207" s="218" t="s">
        <v>597</v>
      </c>
      <c r="C207" s="217" t="s">
        <v>145</v>
      </c>
      <c r="D207" s="217" t="s">
        <v>81</v>
      </c>
      <c r="E207" s="217" t="s">
        <v>150</v>
      </c>
      <c r="F207" s="217"/>
      <c r="G207" s="114">
        <f>G208</f>
        <v>94.49</v>
      </c>
      <c r="H207" s="114">
        <f>H208</f>
        <v>94.49</v>
      </c>
      <c r="I207" s="102">
        <f t="shared" si="16"/>
        <v>100</v>
      </c>
    </row>
    <row r="208" spans="1:9" ht="15.75" hidden="1" x14ac:dyDescent="0.25">
      <c r="A208" s="19" t="s">
        <v>151</v>
      </c>
      <c r="B208" s="218" t="s">
        <v>597</v>
      </c>
      <c r="C208" s="217" t="s">
        <v>145</v>
      </c>
      <c r="D208" s="217" t="s">
        <v>81</v>
      </c>
      <c r="E208" s="217" t="s">
        <v>152</v>
      </c>
      <c r="F208" s="217"/>
      <c r="G208" s="9">
        <f>'Пр.4 Ведом23'!G746</f>
        <v>94.49</v>
      </c>
      <c r="H208" s="9">
        <f>'Пр.4 Ведом23'!H746</f>
        <v>94.49</v>
      </c>
      <c r="I208" s="102">
        <f t="shared" si="16"/>
        <v>100</v>
      </c>
    </row>
    <row r="209" spans="1:10" ht="31.5" hidden="1" x14ac:dyDescent="0.25">
      <c r="A209" s="19" t="s">
        <v>878</v>
      </c>
      <c r="B209" s="218" t="s">
        <v>597</v>
      </c>
      <c r="C209" s="217" t="s">
        <v>145</v>
      </c>
      <c r="D209" s="217" t="s">
        <v>81</v>
      </c>
      <c r="E209" s="217" t="s">
        <v>152</v>
      </c>
      <c r="F209" s="217" t="s">
        <v>238</v>
      </c>
      <c r="G209" s="9">
        <f>G208</f>
        <v>94.49</v>
      </c>
      <c r="H209" s="9">
        <f>H208</f>
        <v>94.49</v>
      </c>
      <c r="I209" s="102">
        <f t="shared" si="16"/>
        <v>100</v>
      </c>
    </row>
    <row r="210" spans="1:10" ht="47.25" x14ac:dyDescent="0.25">
      <c r="A210" s="32" t="s">
        <v>261</v>
      </c>
      <c r="B210" s="218" t="s">
        <v>590</v>
      </c>
      <c r="C210" s="218" t="s">
        <v>145</v>
      </c>
      <c r="D210" s="218" t="s">
        <v>81</v>
      </c>
      <c r="E210" s="218"/>
      <c r="F210" s="218"/>
      <c r="G210" s="114">
        <f>G211</f>
        <v>2130.0617700000003</v>
      </c>
      <c r="H210" s="114">
        <f>H211</f>
        <v>2117.0628700000002</v>
      </c>
      <c r="I210" s="102">
        <f t="shared" si="16"/>
        <v>99.389740702214468</v>
      </c>
    </row>
    <row r="211" spans="1:10" ht="47.25" x14ac:dyDescent="0.25">
      <c r="A211" s="19" t="s">
        <v>149</v>
      </c>
      <c r="B211" s="218" t="s">
        <v>590</v>
      </c>
      <c r="C211" s="218" t="s">
        <v>145</v>
      </c>
      <c r="D211" s="218" t="s">
        <v>81</v>
      </c>
      <c r="E211" s="218" t="s">
        <v>150</v>
      </c>
      <c r="F211" s="218"/>
      <c r="G211" s="9">
        <f>G212</f>
        <v>2130.0617700000003</v>
      </c>
      <c r="H211" s="9">
        <f>H212</f>
        <v>2117.0628700000002</v>
      </c>
      <c r="I211" s="102">
        <f t="shared" si="16"/>
        <v>99.389740702214468</v>
      </c>
    </row>
    <row r="212" spans="1:10" ht="15.75" x14ac:dyDescent="0.25">
      <c r="A212" s="68" t="s">
        <v>151</v>
      </c>
      <c r="B212" s="218" t="s">
        <v>590</v>
      </c>
      <c r="C212" s="218" t="s">
        <v>145</v>
      </c>
      <c r="D212" s="218" t="s">
        <v>81</v>
      </c>
      <c r="E212" s="218" t="s">
        <v>152</v>
      </c>
      <c r="F212" s="218"/>
      <c r="G212" s="9">
        <f>'Пр.4 Ведом23'!G749</f>
        <v>2130.0617700000003</v>
      </c>
      <c r="H212" s="9">
        <f>'Пр.4 Ведом23'!H749</f>
        <v>2117.0628700000002</v>
      </c>
      <c r="I212" s="102">
        <f t="shared" si="16"/>
        <v>99.389740702214468</v>
      </c>
    </row>
    <row r="213" spans="1:10" ht="31.5" x14ac:dyDescent="0.25">
      <c r="A213" s="19" t="s">
        <v>878</v>
      </c>
      <c r="B213" s="218" t="s">
        <v>590</v>
      </c>
      <c r="C213" s="217" t="s">
        <v>145</v>
      </c>
      <c r="D213" s="217" t="s">
        <v>81</v>
      </c>
      <c r="E213" s="217" t="s">
        <v>152</v>
      </c>
      <c r="F213" s="217" t="s">
        <v>238</v>
      </c>
      <c r="G213" s="9">
        <f>G212</f>
        <v>2130.0617700000003</v>
      </c>
      <c r="H213" s="9">
        <f>H212</f>
        <v>2117.0628700000002</v>
      </c>
      <c r="I213" s="102">
        <f t="shared" si="16"/>
        <v>99.389740702214468</v>
      </c>
    </row>
    <row r="214" spans="1:10" ht="63" x14ac:dyDescent="0.25">
      <c r="A214" s="32" t="s">
        <v>262</v>
      </c>
      <c r="B214" s="218" t="s">
        <v>591</v>
      </c>
      <c r="C214" s="218" t="s">
        <v>145</v>
      </c>
      <c r="D214" s="218" t="s">
        <v>81</v>
      </c>
      <c r="E214" s="218"/>
      <c r="F214" s="218"/>
      <c r="G214" s="9">
        <f>G215</f>
        <v>375.548</v>
      </c>
      <c r="H214" s="9">
        <f>H215</f>
        <v>340.13828999999998</v>
      </c>
      <c r="I214" s="102">
        <f t="shared" si="16"/>
        <v>90.571189302033289</v>
      </c>
    </row>
    <row r="215" spans="1:10" ht="47.25" x14ac:dyDescent="0.25">
      <c r="A215" s="19" t="s">
        <v>149</v>
      </c>
      <c r="B215" s="218" t="s">
        <v>591</v>
      </c>
      <c r="C215" s="218" t="s">
        <v>145</v>
      </c>
      <c r="D215" s="218" t="s">
        <v>81</v>
      </c>
      <c r="E215" s="218" t="s">
        <v>150</v>
      </c>
      <c r="F215" s="218"/>
      <c r="G215" s="9">
        <f>G216</f>
        <v>375.548</v>
      </c>
      <c r="H215" s="9">
        <f>H216</f>
        <v>340.13828999999998</v>
      </c>
      <c r="I215" s="102">
        <f t="shared" si="16"/>
        <v>90.571189302033289</v>
      </c>
    </row>
    <row r="216" spans="1:10" ht="15.75" x14ac:dyDescent="0.25">
      <c r="A216" s="68" t="s">
        <v>151</v>
      </c>
      <c r="B216" s="218" t="s">
        <v>591</v>
      </c>
      <c r="C216" s="218" t="s">
        <v>145</v>
      </c>
      <c r="D216" s="218" t="s">
        <v>81</v>
      </c>
      <c r="E216" s="218" t="s">
        <v>152</v>
      </c>
      <c r="F216" s="218"/>
      <c r="G216" s="114">
        <f>'Пр.4 Ведом23'!G752</f>
        <v>375.548</v>
      </c>
      <c r="H216" s="114">
        <f>'Пр.4 Ведом23'!H752</f>
        <v>340.13828999999998</v>
      </c>
      <c r="I216" s="102">
        <f t="shared" si="16"/>
        <v>90.571189302033289</v>
      </c>
    </row>
    <row r="217" spans="1:10" ht="31.5" x14ac:dyDescent="0.25">
      <c r="A217" s="19" t="s">
        <v>878</v>
      </c>
      <c r="B217" s="218" t="s">
        <v>591</v>
      </c>
      <c r="C217" s="217" t="s">
        <v>145</v>
      </c>
      <c r="D217" s="217" t="s">
        <v>81</v>
      </c>
      <c r="E217" s="217" t="s">
        <v>152</v>
      </c>
      <c r="F217" s="217" t="s">
        <v>238</v>
      </c>
      <c r="G217" s="9">
        <f>G216</f>
        <v>375.548</v>
      </c>
      <c r="H217" s="9">
        <f>H216</f>
        <v>340.13828999999998</v>
      </c>
      <c r="I217" s="102">
        <f t="shared" si="16"/>
        <v>90.571189302033289</v>
      </c>
    </row>
    <row r="218" spans="1:10" ht="15.75" x14ac:dyDescent="0.25">
      <c r="A218" s="19" t="s">
        <v>190</v>
      </c>
      <c r="B218" s="217" t="s">
        <v>589</v>
      </c>
      <c r="C218" s="217" t="s">
        <v>145</v>
      </c>
      <c r="D218" s="217" t="s">
        <v>119</v>
      </c>
      <c r="E218" s="217"/>
      <c r="F218" s="217"/>
      <c r="G218" s="9">
        <f>G219+G223</f>
        <v>3599</v>
      </c>
      <c r="H218" s="9">
        <f>H219+H223</f>
        <v>3413.6575699999999</v>
      </c>
      <c r="I218" s="102">
        <f t="shared" si="16"/>
        <v>94.850168657960538</v>
      </c>
    </row>
    <row r="219" spans="1:10" ht="31.5" hidden="1" x14ac:dyDescent="0.25">
      <c r="A219" s="19" t="s">
        <v>155</v>
      </c>
      <c r="B219" s="218" t="s">
        <v>597</v>
      </c>
      <c r="C219" s="217" t="s">
        <v>145</v>
      </c>
      <c r="D219" s="217" t="s">
        <v>119</v>
      </c>
      <c r="E219" s="217"/>
      <c r="F219" s="217"/>
      <c r="G219" s="114">
        <f>G220</f>
        <v>0</v>
      </c>
      <c r="H219" s="114">
        <f>H220</f>
        <v>0</v>
      </c>
      <c r="I219" s="102" t="e">
        <f t="shared" si="16"/>
        <v>#DIV/0!</v>
      </c>
      <c r="J219" s="234"/>
    </row>
    <row r="220" spans="1:10" ht="47.25" hidden="1" x14ac:dyDescent="0.25">
      <c r="A220" s="19" t="s">
        <v>149</v>
      </c>
      <c r="B220" s="218" t="s">
        <v>597</v>
      </c>
      <c r="C220" s="217" t="s">
        <v>145</v>
      </c>
      <c r="D220" s="217" t="s">
        <v>119</v>
      </c>
      <c r="E220" s="217" t="s">
        <v>150</v>
      </c>
      <c r="F220" s="217"/>
      <c r="G220" s="114">
        <f>G221</f>
        <v>0</v>
      </c>
      <c r="H220" s="114">
        <f>H221</f>
        <v>0</v>
      </c>
      <c r="I220" s="102" t="e">
        <f t="shared" si="16"/>
        <v>#DIV/0!</v>
      </c>
    </row>
    <row r="221" spans="1:10" ht="15.75" hidden="1" x14ac:dyDescent="0.25">
      <c r="A221" s="19" t="s">
        <v>151</v>
      </c>
      <c r="B221" s="218" t="s">
        <v>597</v>
      </c>
      <c r="C221" s="217" t="s">
        <v>145</v>
      </c>
      <c r="D221" s="217" t="s">
        <v>119</v>
      </c>
      <c r="E221" s="217" t="s">
        <v>152</v>
      </c>
      <c r="F221" s="217"/>
      <c r="G221" s="114">
        <f>'Пр.4 Ведом23'!G806</f>
        <v>0</v>
      </c>
      <c r="H221" s="114">
        <f>'Пр.4 Ведом23'!H806</f>
        <v>0</v>
      </c>
      <c r="I221" s="102" t="e">
        <f t="shared" si="16"/>
        <v>#DIV/0!</v>
      </c>
    </row>
    <row r="222" spans="1:10" ht="31.5" hidden="1" x14ac:dyDescent="0.25">
      <c r="A222" s="19" t="s">
        <v>878</v>
      </c>
      <c r="B222" s="218" t="s">
        <v>597</v>
      </c>
      <c r="C222" s="217" t="s">
        <v>145</v>
      </c>
      <c r="D222" s="217" t="s">
        <v>119</v>
      </c>
      <c r="E222" s="217" t="s">
        <v>152</v>
      </c>
      <c r="F222" s="217" t="s">
        <v>238</v>
      </c>
      <c r="G222" s="9">
        <f>G221</f>
        <v>0</v>
      </c>
      <c r="H222" s="9">
        <f>H221</f>
        <v>0</v>
      </c>
      <c r="I222" s="102" t="e">
        <f t="shared" si="16"/>
        <v>#DIV/0!</v>
      </c>
    </row>
    <row r="223" spans="1:10" ht="47.25" x14ac:dyDescent="0.25">
      <c r="A223" s="32" t="s">
        <v>261</v>
      </c>
      <c r="B223" s="218" t="s">
        <v>590</v>
      </c>
      <c r="C223" s="217" t="s">
        <v>145</v>
      </c>
      <c r="D223" s="217" t="s">
        <v>119</v>
      </c>
      <c r="E223" s="217"/>
      <c r="F223" s="217"/>
      <c r="G223" s="114">
        <f>G224</f>
        <v>3599</v>
      </c>
      <c r="H223" s="114">
        <f>H224</f>
        <v>3413.6575699999999</v>
      </c>
      <c r="I223" s="102">
        <f t="shared" si="16"/>
        <v>94.850168657960538</v>
      </c>
      <c r="J223" s="234"/>
    </row>
    <row r="224" spans="1:10" ht="47.25" x14ac:dyDescent="0.25">
      <c r="A224" s="19" t="s">
        <v>149</v>
      </c>
      <c r="B224" s="218" t="s">
        <v>590</v>
      </c>
      <c r="C224" s="217" t="s">
        <v>145</v>
      </c>
      <c r="D224" s="217" t="s">
        <v>119</v>
      </c>
      <c r="E224" s="217" t="s">
        <v>150</v>
      </c>
      <c r="F224" s="217"/>
      <c r="G224" s="114">
        <f>G225</f>
        <v>3599</v>
      </c>
      <c r="H224" s="114">
        <f>H225</f>
        <v>3413.6575699999999</v>
      </c>
      <c r="I224" s="102">
        <f t="shared" si="16"/>
        <v>94.850168657960538</v>
      </c>
      <c r="J224" s="234"/>
    </row>
    <row r="225" spans="1:9" ht="15.75" x14ac:dyDescent="0.25">
      <c r="A225" s="68" t="s">
        <v>151</v>
      </c>
      <c r="B225" s="218" t="s">
        <v>590</v>
      </c>
      <c r="C225" s="217" t="s">
        <v>145</v>
      </c>
      <c r="D225" s="217" t="s">
        <v>119</v>
      </c>
      <c r="E225" s="217" t="s">
        <v>152</v>
      </c>
      <c r="F225" s="217"/>
      <c r="G225" s="114">
        <f>'Пр.4 Ведом23'!G809</f>
        <v>3599</v>
      </c>
      <c r="H225" s="114">
        <f>'Пр.4 Ведом23'!H809</f>
        <v>3413.6575699999999</v>
      </c>
      <c r="I225" s="102">
        <f t="shared" si="16"/>
        <v>94.850168657960538</v>
      </c>
    </row>
    <row r="226" spans="1:9" ht="31.5" x14ac:dyDescent="0.25">
      <c r="A226" s="19" t="s">
        <v>878</v>
      </c>
      <c r="B226" s="218" t="s">
        <v>590</v>
      </c>
      <c r="C226" s="217" t="s">
        <v>145</v>
      </c>
      <c r="D226" s="217" t="s">
        <v>119</v>
      </c>
      <c r="E226" s="217" t="s">
        <v>152</v>
      </c>
      <c r="F226" s="217" t="s">
        <v>238</v>
      </c>
      <c r="G226" s="9">
        <f>G225</f>
        <v>3599</v>
      </c>
      <c r="H226" s="9">
        <f>H225</f>
        <v>3413.6575699999999</v>
      </c>
      <c r="I226" s="102">
        <f t="shared" si="16"/>
        <v>94.850168657960538</v>
      </c>
    </row>
    <row r="227" spans="1:9" ht="15.75" x14ac:dyDescent="0.25">
      <c r="A227" s="19" t="s">
        <v>146</v>
      </c>
      <c r="B227" s="217" t="s">
        <v>589</v>
      </c>
      <c r="C227" s="217" t="s">
        <v>145</v>
      </c>
      <c r="D227" s="217" t="s">
        <v>120</v>
      </c>
      <c r="E227" s="217"/>
      <c r="F227" s="217"/>
      <c r="G227" s="9">
        <f>G232+G228</f>
        <v>987.96311000000003</v>
      </c>
      <c r="H227" s="9">
        <f>H232+H228</f>
        <v>987.90930000000003</v>
      </c>
      <c r="I227" s="102">
        <f t="shared" si="16"/>
        <v>99.994553440360747</v>
      </c>
    </row>
    <row r="228" spans="1:9" ht="31.5" x14ac:dyDescent="0.25">
      <c r="A228" s="310" t="s">
        <v>276</v>
      </c>
      <c r="B228" s="218" t="s">
        <v>597</v>
      </c>
      <c r="C228" s="218" t="s">
        <v>145</v>
      </c>
      <c r="D228" s="218" t="s">
        <v>120</v>
      </c>
      <c r="E228" s="217"/>
      <c r="F228" s="217"/>
      <c r="G228" s="9">
        <f>G229</f>
        <v>26.5</v>
      </c>
      <c r="H228" s="9">
        <f>H229</f>
        <v>26.5</v>
      </c>
      <c r="I228" s="102">
        <f t="shared" si="16"/>
        <v>100</v>
      </c>
    </row>
    <row r="229" spans="1:9" ht="47.25" x14ac:dyDescent="0.25">
      <c r="A229" s="19" t="s">
        <v>149</v>
      </c>
      <c r="B229" s="218" t="s">
        <v>597</v>
      </c>
      <c r="C229" s="218" t="s">
        <v>145</v>
      </c>
      <c r="D229" s="218" t="s">
        <v>120</v>
      </c>
      <c r="E229" s="217" t="s">
        <v>150</v>
      </c>
      <c r="F229" s="217"/>
      <c r="G229" s="9">
        <f>G230</f>
        <v>26.5</v>
      </c>
      <c r="H229" s="9">
        <f>H230</f>
        <v>26.5</v>
      </c>
      <c r="I229" s="102">
        <f t="shared" si="16"/>
        <v>100</v>
      </c>
    </row>
    <row r="230" spans="1:9" ht="15.75" x14ac:dyDescent="0.25">
      <c r="A230" s="20" t="s">
        <v>151</v>
      </c>
      <c r="B230" s="218" t="s">
        <v>597</v>
      </c>
      <c r="C230" s="218" t="s">
        <v>145</v>
      </c>
      <c r="D230" s="218" t="s">
        <v>120</v>
      </c>
      <c r="E230" s="217" t="s">
        <v>152</v>
      </c>
      <c r="F230" s="217"/>
      <c r="G230" s="9">
        <f>'Пр.4 Ведом23'!G864</f>
        <v>26.5</v>
      </c>
      <c r="H230" s="9">
        <f>'Пр.4 Ведом23'!H864</f>
        <v>26.5</v>
      </c>
      <c r="I230" s="102">
        <f t="shared" si="16"/>
        <v>100</v>
      </c>
    </row>
    <row r="231" spans="1:9" ht="31.5" x14ac:dyDescent="0.25">
      <c r="A231" s="19" t="s">
        <v>878</v>
      </c>
      <c r="B231" s="218" t="s">
        <v>597</v>
      </c>
      <c r="C231" s="218" t="s">
        <v>145</v>
      </c>
      <c r="D231" s="218" t="s">
        <v>120</v>
      </c>
      <c r="E231" s="217" t="s">
        <v>152</v>
      </c>
      <c r="F231" s="217" t="s">
        <v>238</v>
      </c>
      <c r="G231" s="9">
        <f>G230</f>
        <v>26.5</v>
      </c>
      <c r="H231" s="9">
        <f>H230</f>
        <v>26.5</v>
      </c>
      <c r="I231" s="102">
        <f t="shared" si="16"/>
        <v>100</v>
      </c>
    </row>
    <row r="232" spans="1:9" ht="47.25" x14ac:dyDescent="0.25">
      <c r="A232" s="26" t="s">
        <v>261</v>
      </c>
      <c r="B232" s="218" t="s">
        <v>590</v>
      </c>
      <c r="C232" s="218" t="s">
        <v>145</v>
      </c>
      <c r="D232" s="218" t="s">
        <v>120</v>
      </c>
      <c r="E232" s="218"/>
      <c r="F232" s="218"/>
      <c r="G232" s="9">
        <f>G233</f>
        <v>961.46311000000003</v>
      </c>
      <c r="H232" s="9">
        <f>H233</f>
        <v>961.40930000000003</v>
      </c>
      <c r="I232" s="102">
        <f t="shared" si="16"/>
        <v>99.994403321412932</v>
      </c>
    </row>
    <row r="233" spans="1:9" ht="47.25" x14ac:dyDescent="0.25">
      <c r="A233" s="19" t="s">
        <v>149</v>
      </c>
      <c r="B233" s="218" t="s">
        <v>590</v>
      </c>
      <c r="C233" s="218" t="s">
        <v>145</v>
      </c>
      <c r="D233" s="218" t="s">
        <v>120</v>
      </c>
      <c r="E233" s="218" t="s">
        <v>150</v>
      </c>
      <c r="F233" s="218"/>
      <c r="G233" s="9">
        <f>G234</f>
        <v>961.46311000000003</v>
      </c>
      <c r="H233" s="9">
        <f>H234</f>
        <v>961.40930000000003</v>
      </c>
      <c r="I233" s="102">
        <f t="shared" si="16"/>
        <v>99.994403321412932</v>
      </c>
    </row>
    <row r="234" spans="1:9" ht="15.75" x14ac:dyDescent="0.25">
      <c r="A234" s="20" t="s">
        <v>151</v>
      </c>
      <c r="B234" s="218" t="s">
        <v>590</v>
      </c>
      <c r="C234" s="218" t="s">
        <v>145</v>
      </c>
      <c r="D234" s="218" t="s">
        <v>120</v>
      </c>
      <c r="E234" s="218" t="s">
        <v>152</v>
      </c>
      <c r="F234" s="218"/>
      <c r="G234" s="9">
        <f>'Пр.4 Ведом23'!G867</f>
        <v>961.46311000000003</v>
      </c>
      <c r="H234" s="9">
        <f>'Пр.4 Ведом23'!H867</f>
        <v>961.40930000000003</v>
      </c>
      <c r="I234" s="102">
        <f t="shared" si="16"/>
        <v>99.994403321412932</v>
      </c>
    </row>
    <row r="235" spans="1:9" ht="31.5" x14ac:dyDescent="0.25">
      <c r="A235" s="19" t="s">
        <v>878</v>
      </c>
      <c r="B235" s="218" t="s">
        <v>590</v>
      </c>
      <c r="C235" s="217" t="s">
        <v>145</v>
      </c>
      <c r="D235" s="217" t="s">
        <v>120</v>
      </c>
      <c r="E235" s="217" t="s">
        <v>152</v>
      </c>
      <c r="F235" s="217" t="s">
        <v>238</v>
      </c>
      <c r="G235" s="9">
        <f>G234</f>
        <v>961.46311000000003</v>
      </c>
      <c r="H235" s="9">
        <f>H234</f>
        <v>961.40930000000003</v>
      </c>
      <c r="I235" s="102">
        <f t="shared" si="16"/>
        <v>99.994403321412932</v>
      </c>
    </row>
    <row r="236" spans="1:9" ht="31.5" x14ac:dyDescent="0.25">
      <c r="A236" s="116" t="s">
        <v>737</v>
      </c>
      <c r="B236" s="117" t="s">
        <v>592</v>
      </c>
      <c r="C236" s="117"/>
      <c r="D236" s="117"/>
      <c r="E236" s="117"/>
      <c r="F236" s="117"/>
      <c r="G236" s="113">
        <f>G237</f>
        <v>5528.8143999999993</v>
      </c>
      <c r="H236" s="113">
        <f>H237</f>
        <v>5523.4852000000001</v>
      </c>
      <c r="I236" s="221">
        <f t="shared" si="16"/>
        <v>99.903610437709773</v>
      </c>
    </row>
    <row r="237" spans="1:9" ht="15.75" x14ac:dyDescent="0.25">
      <c r="A237" s="19" t="s">
        <v>144</v>
      </c>
      <c r="B237" s="218" t="s">
        <v>592</v>
      </c>
      <c r="C237" s="217" t="s">
        <v>145</v>
      </c>
      <c r="D237" s="217"/>
      <c r="E237" s="217"/>
      <c r="F237" s="217"/>
      <c r="G237" s="114">
        <f>G238+G243</f>
        <v>5528.8143999999993</v>
      </c>
      <c r="H237" s="114">
        <f>H238+H243</f>
        <v>5523.4852000000001</v>
      </c>
      <c r="I237" s="102">
        <f t="shared" si="16"/>
        <v>99.903610437709773</v>
      </c>
    </row>
    <row r="238" spans="1:9" ht="15.75" x14ac:dyDescent="0.25">
      <c r="A238" s="26" t="s">
        <v>188</v>
      </c>
      <c r="B238" s="218" t="s">
        <v>592</v>
      </c>
      <c r="C238" s="217" t="s">
        <v>145</v>
      </c>
      <c r="D238" s="217" t="s">
        <v>81</v>
      </c>
      <c r="E238" s="217"/>
      <c r="F238" s="217"/>
      <c r="G238" s="114">
        <f t="shared" ref="G238:H240" si="17">G239</f>
        <v>398.4</v>
      </c>
      <c r="H238" s="114">
        <f t="shared" si="17"/>
        <v>393.07080000000002</v>
      </c>
      <c r="I238" s="102">
        <f t="shared" si="16"/>
        <v>98.662349397590376</v>
      </c>
    </row>
    <row r="239" spans="1:9" ht="31.5" x14ac:dyDescent="0.25">
      <c r="A239" s="215" t="s">
        <v>738</v>
      </c>
      <c r="B239" s="218" t="s">
        <v>739</v>
      </c>
      <c r="C239" s="218" t="s">
        <v>145</v>
      </c>
      <c r="D239" s="218" t="s">
        <v>81</v>
      </c>
      <c r="E239" s="218"/>
      <c r="F239" s="218"/>
      <c r="G239" s="9">
        <f t="shared" si="17"/>
        <v>398.4</v>
      </c>
      <c r="H239" s="9">
        <f t="shared" si="17"/>
        <v>393.07080000000002</v>
      </c>
      <c r="I239" s="102">
        <f t="shared" si="16"/>
        <v>98.662349397590376</v>
      </c>
    </row>
    <row r="240" spans="1:9" ht="47.25" x14ac:dyDescent="0.25">
      <c r="A240" s="215" t="s">
        <v>149</v>
      </c>
      <c r="B240" s="218" t="s">
        <v>739</v>
      </c>
      <c r="C240" s="218" t="s">
        <v>145</v>
      </c>
      <c r="D240" s="218" t="s">
        <v>81</v>
      </c>
      <c r="E240" s="218" t="s">
        <v>150</v>
      </c>
      <c r="F240" s="218"/>
      <c r="G240" s="114">
        <f t="shared" si="17"/>
        <v>398.4</v>
      </c>
      <c r="H240" s="114">
        <f t="shared" si="17"/>
        <v>393.07080000000002</v>
      </c>
      <c r="I240" s="102">
        <f t="shared" si="16"/>
        <v>98.662349397590376</v>
      </c>
    </row>
    <row r="241" spans="1:14" ht="15.75" x14ac:dyDescent="0.25">
      <c r="A241" s="215" t="s">
        <v>151</v>
      </c>
      <c r="B241" s="218" t="s">
        <v>739</v>
      </c>
      <c r="C241" s="218" t="s">
        <v>145</v>
      </c>
      <c r="D241" s="218" t="s">
        <v>81</v>
      </c>
      <c r="E241" s="218" t="s">
        <v>152</v>
      </c>
      <c r="F241" s="218"/>
      <c r="G241" s="114">
        <f>'Пр.4 Ведом23'!G756</f>
        <v>398.4</v>
      </c>
      <c r="H241" s="114">
        <f>'Пр.4 Ведом23'!H756</f>
        <v>393.07080000000002</v>
      </c>
      <c r="I241" s="102">
        <f t="shared" si="16"/>
        <v>98.662349397590376</v>
      </c>
    </row>
    <row r="242" spans="1:14" ht="31.5" x14ac:dyDescent="0.25">
      <c r="A242" s="19" t="s">
        <v>878</v>
      </c>
      <c r="B242" s="218" t="s">
        <v>739</v>
      </c>
      <c r="C242" s="217" t="s">
        <v>145</v>
      </c>
      <c r="D242" s="217" t="s">
        <v>81</v>
      </c>
      <c r="E242" s="217" t="s">
        <v>152</v>
      </c>
      <c r="F242" s="217" t="s">
        <v>238</v>
      </c>
      <c r="G242" s="114">
        <f>G241</f>
        <v>398.4</v>
      </c>
      <c r="H242" s="114">
        <f>H241</f>
        <v>393.07080000000002</v>
      </c>
      <c r="I242" s="102">
        <f t="shared" si="16"/>
        <v>98.662349397590376</v>
      </c>
    </row>
    <row r="243" spans="1:14" ht="15.75" x14ac:dyDescent="0.25">
      <c r="A243" s="19" t="s">
        <v>190</v>
      </c>
      <c r="B243" s="218" t="s">
        <v>592</v>
      </c>
      <c r="C243" s="217" t="s">
        <v>145</v>
      </c>
      <c r="D243" s="217" t="s">
        <v>119</v>
      </c>
      <c r="E243" s="217"/>
      <c r="F243" s="217"/>
      <c r="G243" s="9">
        <f t="shared" ref="G243:H245" si="18">G244</f>
        <v>5130.4143999999997</v>
      </c>
      <c r="H243" s="9">
        <f t="shared" si="18"/>
        <v>5130.4143999999997</v>
      </c>
      <c r="I243" s="102">
        <f t="shared" si="16"/>
        <v>100</v>
      </c>
    </row>
    <row r="244" spans="1:14" ht="31.5" x14ac:dyDescent="0.25">
      <c r="A244" s="215" t="s">
        <v>738</v>
      </c>
      <c r="B244" s="218" t="s">
        <v>739</v>
      </c>
      <c r="C244" s="217" t="s">
        <v>145</v>
      </c>
      <c r="D244" s="217" t="s">
        <v>119</v>
      </c>
      <c r="E244" s="217"/>
      <c r="F244" s="217"/>
      <c r="G244" s="114">
        <f t="shared" si="18"/>
        <v>5130.4143999999997</v>
      </c>
      <c r="H244" s="114">
        <f t="shared" si="18"/>
        <v>5130.4143999999997</v>
      </c>
      <c r="I244" s="102">
        <f t="shared" si="16"/>
        <v>100</v>
      </c>
    </row>
    <row r="245" spans="1:14" ht="47.25" x14ac:dyDescent="0.25">
      <c r="A245" s="19" t="s">
        <v>149</v>
      </c>
      <c r="B245" s="218" t="s">
        <v>739</v>
      </c>
      <c r="C245" s="217" t="s">
        <v>145</v>
      </c>
      <c r="D245" s="217" t="s">
        <v>119</v>
      </c>
      <c r="E245" s="217" t="s">
        <v>150</v>
      </c>
      <c r="F245" s="217"/>
      <c r="G245" s="114">
        <f t="shared" si="18"/>
        <v>5130.4143999999997</v>
      </c>
      <c r="H245" s="114">
        <f t="shared" si="18"/>
        <v>5130.4143999999997</v>
      </c>
      <c r="I245" s="102">
        <f t="shared" si="16"/>
        <v>100</v>
      </c>
    </row>
    <row r="246" spans="1:14" ht="15.75" x14ac:dyDescent="0.25">
      <c r="A246" s="19" t="s">
        <v>151</v>
      </c>
      <c r="B246" s="218" t="s">
        <v>739</v>
      </c>
      <c r="C246" s="217" t="s">
        <v>145</v>
      </c>
      <c r="D246" s="217" t="s">
        <v>119</v>
      </c>
      <c r="E246" s="217" t="s">
        <v>152</v>
      </c>
      <c r="F246" s="217"/>
      <c r="G246" s="114">
        <f>'Пр.4 Ведом23'!G813</f>
        <v>5130.4143999999997</v>
      </c>
      <c r="H246" s="114">
        <f>'Пр.4 Ведом23'!H813</f>
        <v>5130.4143999999997</v>
      </c>
      <c r="I246" s="102">
        <f t="shared" si="16"/>
        <v>100</v>
      </c>
    </row>
    <row r="247" spans="1:14" ht="31.5" x14ac:dyDescent="0.25">
      <c r="A247" s="19" t="s">
        <v>878</v>
      </c>
      <c r="B247" s="218" t="s">
        <v>739</v>
      </c>
      <c r="C247" s="217" t="s">
        <v>145</v>
      </c>
      <c r="D247" s="217" t="s">
        <v>119</v>
      </c>
      <c r="E247" s="217" t="s">
        <v>152</v>
      </c>
      <c r="F247" s="217" t="s">
        <v>238</v>
      </c>
      <c r="G247" s="9">
        <f>G246</f>
        <v>5130.4143999999997</v>
      </c>
      <c r="H247" s="9">
        <f>H246</f>
        <v>5130.4143999999997</v>
      </c>
      <c r="I247" s="102">
        <f t="shared" si="16"/>
        <v>100</v>
      </c>
    </row>
    <row r="248" spans="1:14" ht="47.25" x14ac:dyDescent="0.25">
      <c r="A248" s="22" t="s">
        <v>727</v>
      </c>
      <c r="B248" s="117" t="s">
        <v>989</v>
      </c>
      <c r="C248" s="218"/>
      <c r="D248" s="218"/>
      <c r="E248" s="218"/>
      <c r="F248" s="217"/>
      <c r="G248" s="31">
        <f>G249</f>
        <v>404.3839999999999</v>
      </c>
      <c r="H248" s="31">
        <f>H249</f>
        <v>404.38351999999998</v>
      </c>
      <c r="I248" s="221">
        <f t="shared" si="16"/>
        <v>99.999881300941695</v>
      </c>
    </row>
    <row r="249" spans="1:14" ht="15.75" x14ac:dyDescent="0.25">
      <c r="A249" s="19" t="s">
        <v>144</v>
      </c>
      <c r="B249" s="218" t="s">
        <v>989</v>
      </c>
      <c r="C249" s="218" t="s">
        <v>145</v>
      </c>
      <c r="D249" s="218"/>
      <c r="E249" s="218"/>
      <c r="F249" s="217"/>
      <c r="G249" s="9">
        <f>G256+G250</f>
        <v>404.3839999999999</v>
      </c>
      <c r="H249" s="9">
        <f>H256+H250</f>
        <v>404.38351999999998</v>
      </c>
      <c r="I249" s="102">
        <f t="shared" si="16"/>
        <v>99.999881300941695</v>
      </c>
    </row>
    <row r="250" spans="1:14" s="332" customFormat="1" ht="15.75" hidden="1" x14ac:dyDescent="0.25">
      <c r="A250" s="19" t="s">
        <v>146</v>
      </c>
      <c r="B250" s="334" t="s">
        <v>989</v>
      </c>
      <c r="C250" s="334" t="s">
        <v>145</v>
      </c>
      <c r="D250" s="334" t="s">
        <v>120</v>
      </c>
      <c r="E250" s="334"/>
      <c r="F250" s="217"/>
      <c r="G250" s="344">
        <f t="shared" ref="G250:H252" si="19">G251</f>
        <v>0</v>
      </c>
      <c r="H250" s="344">
        <f t="shared" si="19"/>
        <v>0</v>
      </c>
      <c r="I250" s="102" t="e">
        <f t="shared" si="16"/>
        <v>#DIV/0!</v>
      </c>
      <c r="J250" s="125"/>
      <c r="K250" s="125"/>
      <c r="L250" s="125"/>
      <c r="M250" s="125"/>
      <c r="N250" s="125"/>
    </row>
    <row r="251" spans="1:14" s="332" customFormat="1" ht="47.25" hidden="1" x14ac:dyDescent="0.25">
      <c r="A251" s="20" t="s">
        <v>740</v>
      </c>
      <c r="B251" s="334" t="s">
        <v>990</v>
      </c>
      <c r="C251" s="334" t="s">
        <v>145</v>
      </c>
      <c r="D251" s="334" t="s">
        <v>120</v>
      </c>
      <c r="E251" s="334"/>
      <c r="F251" s="217"/>
      <c r="G251" s="344">
        <f t="shared" si="19"/>
        <v>0</v>
      </c>
      <c r="H251" s="344">
        <f t="shared" si="19"/>
        <v>0</v>
      </c>
      <c r="I251" s="102" t="e">
        <f t="shared" si="16"/>
        <v>#DIV/0!</v>
      </c>
      <c r="J251" s="125"/>
      <c r="K251" s="125"/>
      <c r="L251" s="125"/>
      <c r="M251" s="125"/>
      <c r="N251" s="125"/>
    </row>
    <row r="252" spans="1:14" s="332" customFormat="1" ht="47.25" hidden="1" x14ac:dyDescent="0.25">
      <c r="A252" s="335" t="s">
        <v>149</v>
      </c>
      <c r="B252" s="334" t="s">
        <v>990</v>
      </c>
      <c r="C252" s="334" t="s">
        <v>145</v>
      </c>
      <c r="D252" s="334" t="s">
        <v>120</v>
      </c>
      <c r="E252" s="334" t="s">
        <v>150</v>
      </c>
      <c r="F252" s="217"/>
      <c r="G252" s="344">
        <f t="shared" si="19"/>
        <v>0</v>
      </c>
      <c r="H252" s="344">
        <f t="shared" si="19"/>
        <v>0</v>
      </c>
      <c r="I252" s="102" t="e">
        <f t="shared" si="16"/>
        <v>#DIV/0!</v>
      </c>
      <c r="J252" s="125"/>
      <c r="K252" s="125"/>
      <c r="L252" s="125"/>
      <c r="M252" s="125"/>
      <c r="N252" s="125"/>
    </row>
    <row r="253" spans="1:14" s="332" customFormat="1" ht="94.5" hidden="1" x14ac:dyDescent="0.25">
      <c r="A253" s="68" t="s">
        <v>1088</v>
      </c>
      <c r="B253" s="334" t="s">
        <v>990</v>
      </c>
      <c r="C253" s="334" t="s">
        <v>145</v>
      </c>
      <c r="D253" s="334" t="s">
        <v>120</v>
      </c>
      <c r="E253" s="334" t="s">
        <v>180</v>
      </c>
      <c r="F253" s="217"/>
      <c r="G253" s="344">
        <f>'Пр.4 Ведом23'!G871</f>
        <v>0</v>
      </c>
      <c r="H253" s="344">
        <f>'Пр.4 Ведом23'!H871</f>
        <v>0</v>
      </c>
      <c r="I253" s="102" t="e">
        <f t="shared" si="16"/>
        <v>#DIV/0!</v>
      </c>
      <c r="J253" s="125"/>
      <c r="K253" s="125"/>
      <c r="L253" s="125"/>
      <c r="M253" s="125"/>
      <c r="N253" s="125"/>
    </row>
    <row r="254" spans="1:14" s="332" customFormat="1" ht="31.5" hidden="1" x14ac:dyDescent="0.25">
      <c r="A254" s="68" t="s">
        <v>878</v>
      </c>
      <c r="B254" s="334" t="s">
        <v>990</v>
      </c>
      <c r="C254" s="334" t="s">
        <v>145</v>
      </c>
      <c r="D254" s="334" t="s">
        <v>120</v>
      </c>
      <c r="E254" s="334" t="s">
        <v>180</v>
      </c>
      <c r="F254" s="217" t="s">
        <v>238</v>
      </c>
      <c r="G254" s="344">
        <f>G253</f>
        <v>0</v>
      </c>
      <c r="H254" s="344">
        <f>H253</f>
        <v>0</v>
      </c>
      <c r="I254" s="102" t="e">
        <f t="shared" si="16"/>
        <v>#DIV/0!</v>
      </c>
      <c r="J254" s="125"/>
      <c r="K254" s="125"/>
      <c r="L254" s="125"/>
      <c r="M254" s="125"/>
      <c r="N254" s="125"/>
    </row>
    <row r="255" spans="1:14" s="332" customFormat="1" ht="15.75" hidden="1" x14ac:dyDescent="0.25">
      <c r="A255" s="19"/>
      <c r="B255" s="334"/>
      <c r="C255" s="334"/>
      <c r="D255" s="334"/>
      <c r="E255" s="334"/>
      <c r="F255" s="217"/>
      <c r="G255" s="9"/>
      <c r="H255" s="9"/>
      <c r="I255" s="102" t="e">
        <f t="shared" si="16"/>
        <v>#DIV/0!</v>
      </c>
      <c r="J255" s="125"/>
      <c r="K255" s="125"/>
      <c r="L255" s="125"/>
      <c r="M255" s="125"/>
      <c r="N255" s="125"/>
    </row>
    <row r="256" spans="1:14" ht="15.75" x14ac:dyDescent="0.25">
      <c r="A256" s="215" t="s">
        <v>157</v>
      </c>
      <c r="B256" s="218" t="s">
        <v>989</v>
      </c>
      <c r="C256" s="218" t="s">
        <v>145</v>
      </c>
      <c r="D256" s="218" t="s">
        <v>122</v>
      </c>
      <c r="E256" s="218"/>
      <c r="F256" s="217"/>
      <c r="G256" s="9">
        <f t="shared" ref="G256:H258" si="20">G257</f>
        <v>404.3839999999999</v>
      </c>
      <c r="H256" s="9">
        <f t="shared" si="20"/>
        <v>404.38351999999998</v>
      </c>
      <c r="I256" s="102">
        <f t="shared" si="16"/>
        <v>99.999881300941695</v>
      </c>
    </row>
    <row r="257" spans="1:9" ht="47.25" x14ac:dyDescent="0.25">
      <c r="A257" s="20" t="s">
        <v>740</v>
      </c>
      <c r="B257" s="218" t="s">
        <v>990</v>
      </c>
      <c r="C257" s="218" t="s">
        <v>145</v>
      </c>
      <c r="D257" s="218" t="s">
        <v>122</v>
      </c>
      <c r="E257" s="218"/>
      <c r="F257" s="217"/>
      <c r="G257" s="9">
        <f t="shared" si="20"/>
        <v>404.3839999999999</v>
      </c>
      <c r="H257" s="9">
        <f t="shared" si="20"/>
        <v>404.38351999999998</v>
      </c>
      <c r="I257" s="102">
        <f t="shared" si="16"/>
        <v>99.999881300941695</v>
      </c>
    </row>
    <row r="258" spans="1:9" ht="47.25" x14ac:dyDescent="0.25">
      <c r="A258" s="215" t="s">
        <v>149</v>
      </c>
      <c r="B258" s="218" t="s">
        <v>990</v>
      </c>
      <c r="C258" s="218" t="s">
        <v>145</v>
      </c>
      <c r="D258" s="218" t="s">
        <v>122</v>
      </c>
      <c r="E258" s="218" t="s">
        <v>150</v>
      </c>
      <c r="F258" s="217"/>
      <c r="G258" s="9">
        <f t="shared" si="20"/>
        <v>404.3839999999999</v>
      </c>
      <c r="H258" s="9">
        <f t="shared" si="20"/>
        <v>404.38351999999998</v>
      </c>
      <c r="I258" s="102">
        <f t="shared" si="16"/>
        <v>99.999881300941695</v>
      </c>
    </row>
    <row r="259" spans="1:9" ht="31.5" x14ac:dyDescent="0.25">
      <c r="A259" s="70" t="s">
        <v>728</v>
      </c>
      <c r="B259" s="218" t="s">
        <v>990</v>
      </c>
      <c r="C259" s="218" t="s">
        <v>145</v>
      </c>
      <c r="D259" s="218" t="s">
        <v>122</v>
      </c>
      <c r="E259" s="218" t="s">
        <v>729</v>
      </c>
      <c r="F259" s="217"/>
      <c r="G259" s="9">
        <f>'Пр.4 Ведом23'!G938</f>
        <v>404.3839999999999</v>
      </c>
      <c r="H259" s="9">
        <f>'Пр.4 Ведом23'!H938</f>
        <v>404.38351999999998</v>
      </c>
      <c r="I259" s="102">
        <f t="shared" si="16"/>
        <v>99.999881300941695</v>
      </c>
    </row>
    <row r="260" spans="1:9" ht="31.5" x14ac:dyDescent="0.25">
      <c r="A260" s="68" t="s">
        <v>878</v>
      </c>
      <c r="B260" s="218" t="s">
        <v>990</v>
      </c>
      <c r="C260" s="218" t="s">
        <v>145</v>
      </c>
      <c r="D260" s="218" t="s">
        <v>122</v>
      </c>
      <c r="E260" s="218" t="s">
        <v>729</v>
      </c>
      <c r="F260" s="217" t="s">
        <v>238</v>
      </c>
      <c r="G260" s="9">
        <f>G259</f>
        <v>404.3839999999999</v>
      </c>
      <c r="H260" s="9">
        <f>H259</f>
        <v>404.38351999999998</v>
      </c>
      <c r="I260" s="102">
        <f t="shared" si="16"/>
        <v>99.999881300941695</v>
      </c>
    </row>
    <row r="261" spans="1:9" ht="110.25" x14ac:dyDescent="0.25">
      <c r="A261" s="116" t="s">
        <v>653</v>
      </c>
      <c r="B261" s="117" t="s">
        <v>991</v>
      </c>
      <c r="C261" s="117"/>
      <c r="D261" s="117"/>
      <c r="E261" s="217"/>
      <c r="F261" s="217"/>
      <c r="G261" s="113">
        <f t="shared" ref="G261:H265" si="21">G262</f>
        <v>705.08950000000004</v>
      </c>
      <c r="H261" s="113">
        <f t="shared" si="21"/>
        <v>704.22469999999998</v>
      </c>
      <c r="I261" s="221">
        <f t="shared" si="16"/>
        <v>99.877348903933466</v>
      </c>
    </row>
    <row r="262" spans="1:9" ht="15.75" x14ac:dyDescent="0.25">
      <c r="A262" s="19" t="s">
        <v>144</v>
      </c>
      <c r="B262" s="218" t="s">
        <v>991</v>
      </c>
      <c r="C262" s="218" t="s">
        <v>145</v>
      </c>
      <c r="D262" s="218"/>
      <c r="E262" s="217"/>
      <c r="F262" s="217"/>
      <c r="G262" s="114">
        <f t="shared" si="21"/>
        <v>705.08950000000004</v>
      </c>
      <c r="H262" s="114">
        <f t="shared" si="21"/>
        <v>704.22469999999998</v>
      </c>
      <c r="I262" s="102">
        <f t="shared" si="16"/>
        <v>99.877348903933466</v>
      </c>
    </row>
    <row r="263" spans="1:9" ht="15.75" x14ac:dyDescent="0.25">
      <c r="A263" s="26" t="s">
        <v>188</v>
      </c>
      <c r="B263" s="218" t="s">
        <v>991</v>
      </c>
      <c r="C263" s="218" t="s">
        <v>145</v>
      </c>
      <c r="D263" s="218" t="s">
        <v>81</v>
      </c>
      <c r="E263" s="217"/>
      <c r="F263" s="217"/>
      <c r="G263" s="114">
        <f t="shared" si="21"/>
        <v>705.08950000000004</v>
      </c>
      <c r="H263" s="114">
        <f t="shared" si="21"/>
        <v>704.22469999999998</v>
      </c>
      <c r="I263" s="102">
        <f t="shared" si="16"/>
        <v>99.877348903933466</v>
      </c>
    </row>
    <row r="264" spans="1:9" ht="94.5" x14ac:dyDescent="0.25">
      <c r="A264" s="63" t="s">
        <v>672</v>
      </c>
      <c r="B264" s="218" t="s">
        <v>992</v>
      </c>
      <c r="C264" s="218" t="s">
        <v>145</v>
      </c>
      <c r="D264" s="218" t="s">
        <v>81</v>
      </c>
      <c r="E264" s="217"/>
      <c r="F264" s="217"/>
      <c r="G264" s="114">
        <f t="shared" si="21"/>
        <v>705.08950000000004</v>
      </c>
      <c r="H264" s="114">
        <f t="shared" si="21"/>
        <v>704.22469999999998</v>
      </c>
      <c r="I264" s="102">
        <f t="shared" si="16"/>
        <v>99.877348903933466</v>
      </c>
    </row>
    <row r="265" spans="1:9" ht="47.25" x14ac:dyDescent="0.25">
      <c r="A265" s="215" t="s">
        <v>149</v>
      </c>
      <c r="B265" s="218" t="s">
        <v>992</v>
      </c>
      <c r="C265" s="218" t="s">
        <v>145</v>
      </c>
      <c r="D265" s="218" t="s">
        <v>81</v>
      </c>
      <c r="E265" s="218" t="s">
        <v>150</v>
      </c>
      <c r="F265" s="217"/>
      <c r="G265" s="9">
        <f t="shared" si="21"/>
        <v>705.08950000000004</v>
      </c>
      <c r="H265" s="9">
        <f t="shared" si="21"/>
        <v>704.22469999999998</v>
      </c>
      <c r="I265" s="102">
        <f t="shared" si="16"/>
        <v>99.877348903933466</v>
      </c>
    </row>
    <row r="266" spans="1:9" ht="15.75" x14ac:dyDescent="0.25">
      <c r="A266" s="215" t="s">
        <v>151</v>
      </c>
      <c r="B266" s="218" t="s">
        <v>992</v>
      </c>
      <c r="C266" s="218" t="s">
        <v>145</v>
      </c>
      <c r="D266" s="218" t="s">
        <v>81</v>
      </c>
      <c r="E266" s="218" t="s">
        <v>152</v>
      </c>
      <c r="F266" s="217"/>
      <c r="G266" s="114">
        <f>'Пр.4 Ведом23'!G760</f>
        <v>705.08950000000004</v>
      </c>
      <c r="H266" s="114">
        <f>'Пр.4 Ведом23'!H760</f>
        <v>704.22469999999998</v>
      </c>
      <c r="I266" s="102">
        <f t="shared" ref="I266:I329" si="22">H266/G266*100</f>
        <v>99.877348903933466</v>
      </c>
    </row>
    <row r="267" spans="1:9" ht="31.5" x14ac:dyDescent="0.25">
      <c r="A267" s="19" t="s">
        <v>878</v>
      </c>
      <c r="B267" s="218" t="s">
        <v>992</v>
      </c>
      <c r="C267" s="218" t="s">
        <v>145</v>
      </c>
      <c r="D267" s="218" t="s">
        <v>81</v>
      </c>
      <c r="E267" s="218" t="s">
        <v>152</v>
      </c>
      <c r="F267" s="217" t="s">
        <v>238</v>
      </c>
      <c r="G267" s="114">
        <f>G266</f>
        <v>705.08950000000004</v>
      </c>
      <c r="H267" s="114">
        <f>H266</f>
        <v>704.22469999999998</v>
      </c>
      <c r="I267" s="102">
        <f t="shared" si="22"/>
        <v>99.877348903933466</v>
      </c>
    </row>
    <row r="268" spans="1:9" ht="47.25" x14ac:dyDescent="0.25">
      <c r="A268" s="95" t="s">
        <v>650</v>
      </c>
      <c r="B268" s="117" t="s">
        <v>993</v>
      </c>
      <c r="C268" s="117"/>
      <c r="D268" s="117"/>
      <c r="E268" s="117"/>
      <c r="F268" s="6"/>
      <c r="G268" s="113">
        <f t="shared" ref="G268:H272" si="23">G269</f>
        <v>5213.21</v>
      </c>
      <c r="H268" s="113">
        <f t="shared" si="23"/>
        <v>5213.1999800000003</v>
      </c>
      <c r="I268" s="221">
        <f t="shared" si="22"/>
        <v>99.999807795964486</v>
      </c>
    </row>
    <row r="269" spans="1:9" ht="15.75" x14ac:dyDescent="0.25">
      <c r="A269" s="68" t="s">
        <v>144</v>
      </c>
      <c r="B269" s="218" t="s">
        <v>993</v>
      </c>
      <c r="C269" s="218" t="s">
        <v>145</v>
      </c>
      <c r="D269" s="218"/>
      <c r="E269" s="218"/>
      <c r="F269" s="217"/>
      <c r="G269" s="9">
        <f t="shared" si="23"/>
        <v>5213.21</v>
      </c>
      <c r="H269" s="9">
        <f t="shared" si="23"/>
        <v>5213.1999800000003</v>
      </c>
      <c r="I269" s="102">
        <f t="shared" si="22"/>
        <v>99.999807795964486</v>
      </c>
    </row>
    <row r="270" spans="1:9" ht="15.75" x14ac:dyDescent="0.25">
      <c r="A270" s="68" t="s">
        <v>190</v>
      </c>
      <c r="B270" s="218" t="s">
        <v>993</v>
      </c>
      <c r="C270" s="218" t="s">
        <v>145</v>
      </c>
      <c r="D270" s="218" t="s">
        <v>119</v>
      </c>
      <c r="E270" s="218"/>
      <c r="F270" s="217"/>
      <c r="G270" s="9">
        <f t="shared" si="23"/>
        <v>5213.21</v>
      </c>
      <c r="H270" s="9">
        <f t="shared" si="23"/>
        <v>5213.1999800000003</v>
      </c>
      <c r="I270" s="102">
        <f t="shared" si="22"/>
        <v>99.999807795964486</v>
      </c>
    </row>
    <row r="271" spans="1:9" ht="78.75" x14ac:dyDescent="0.25">
      <c r="A271" s="94" t="s">
        <v>646</v>
      </c>
      <c r="B271" s="218" t="s">
        <v>994</v>
      </c>
      <c r="C271" s="218" t="s">
        <v>145</v>
      </c>
      <c r="D271" s="218" t="s">
        <v>119</v>
      </c>
      <c r="E271" s="218"/>
      <c r="F271" s="217"/>
      <c r="G271" s="9">
        <f t="shared" si="23"/>
        <v>5213.21</v>
      </c>
      <c r="H271" s="9">
        <f t="shared" si="23"/>
        <v>5213.1999800000003</v>
      </c>
      <c r="I271" s="102">
        <f t="shared" si="22"/>
        <v>99.999807795964486</v>
      </c>
    </row>
    <row r="272" spans="1:9" ht="47.25" x14ac:dyDescent="0.25">
      <c r="A272" s="20" t="s">
        <v>149</v>
      </c>
      <c r="B272" s="218" t="s">
        <v>994</v>
      </c>
      <c r="C272" s="218" t="s">
        <v>145</v>
      </c>
      <c r="D272" s="218" t="s">
        <v>119</v>
      </c>
      <c r="E272" s="218" t="s">
        <v>150</v>
      </c>
      <c r="F272" s="217"/>
      <c r="G272" s="9">
        <f t="shared" si="23"/>
        <v>5213.21</v>
      </c>
      <c r="H272" s="9">
        <f t="shared" si="23"/>
        <v>5213.1999800000003</v>
      </c>
      <c r="I272" s="102">
        <f t="shared" si="22"/>
        <v>99.999807795964486</v>
      </c>
    </row>
    <row r="273" spans="1:9" ht="15.75" x14ac:dyDescent="0.25">
      <c r="A273" s="20" t="s">
        <v>151</v>
      </c>
      <c r="B273" s="218" t="s">
        <v>994</v>
      </c>
      <c r="C273" s="218" t="s">
        <v>145</v>
      </c>
      <c r="D273" s="218" t="s">
        <v>119</v>
      </c>
      <c r="E273" s="218" t="s">
        <v>152</v>
      </c>
      <c r="F273" s="217"/>
      <c r="G273" s="9">
        <f>'Пр.4 Ведом23'!G817</f>
        <v>5213.21</v>
      </c>
      <c r="H273" s="9">
        <f>'Пр.4 Ведом23'!H817</f>
        <v>5213.1999800000003</v>
      </c>
      <c r="I273" s="102">
        <f t="shared" si="22"/>
        <v>99.999807795964486</v>
      </c>
    </row>
    <row r="274" spans="1:9" ht="31.5" x14ac:dyDescent="0.25">
      <c r="A274" s="68" t="s">
        <v>878</v>
      </c>
      <c r="B274" s="218" t="s">
        <v>994</v>
      </c>
      <c r="C274" s="218" t="s">
        <v>145</v>
      </c>
      <c r="D274" s="218" t="s">
        <v>119</v>
      </c>
      <c r="E274" s="218" t="s">
        <v>152</v>
      </c>
      <c r="F274" s="217" t="s">
        <v>238</v>
      </c>
      <c r="G274" s="9">
        <f>G273</f>
        <v>5213.21</v>
      </c>
      <c r="H274" s="9">
        <f>H273</f>
        <v>5213.1999800000003</v>
      </c>
      <c r="I274" s="102">
        <f t="shared" si="22"/>
        <v>99.999807795964486</v>
      </c>
    </row>
    <row r="275" spans="1:9" ht="31.5" x14ac:dyDescent="0.25">
      <c r="A275" s="22" t="s">
        <v>667</v>
      </c>
      <c r="B275" s="117" t="s">
        <v>666</v>
      </c>
      <c r="C275" s="217"/>
      <c r="D275" s="217"/>
      <c r="E275" s="217"/>
      <c r="F275" s="217"/>
      <c r="G275" s="31">
        <f t="shared" ref="G275:H279" si="24">G276</f>
        <v>1679.51</v>
      </c>
      <c r="H275" s="31">
        <f t="shared" si="24"/>
        <v>1623.2393199999999</v>
      </c>
      <c r="I275" s="221">
        <f t="shared" si="22"/>
        <v>96.649577555358405</v>
      </c>
    </row>
    <row r="276" spans="1:9" ht="15.75" x14ac:dyDescent="0.25">
      <c r="A276" s="19" t="s">
        <v>144</v>
      </c>
      <c r="B276" s="218" t="s">
        <v>666</v>
      </c>
      <c r="C276" s="217" t="s">
        <v>145</v>
      </c>
      <c r="D276" s="217"/>
      <c r="E276" s="217"/>
      <c r="F276" s="217"/>
      <c r="G276" s="9">
        <f t="shared" si="24"/>
        <v>1679.51</v>
      </c>
      <c r="H276" s="9">
        <f t="shared" si="24"/>
        <v>1623.2393199999999</v>
      </c>
      <c r="I276" s="102">
        <f t="shared" si="22"/>
        <v>96.649577555358405</v>
      </c>
    </row>
    <row r="277" spans="1:9" ht="15.75" x14ac:dyDescent="0.25">
      <c r="A277" s="19" t="s">
        <v>190</v>
      </c>
      <c r="B277" s="218" t="s">
        <v>666</v>
      </c>
      <c r="C277" s="217" t="s">
        <v>145</v>
      </c>
      <c r="D277" s="217" t="s">
        <v>119</v>
      </c>
      <c r="E277" s="217"/>
      <c r="F277" s="217"/>
      <c r="G277" s="9">
        <f t="shared" si="24"/>
        <v>1679.51</v>
      </c>
      <c r="H277" s="9">
        <f t="shared" si="24"/>
        <v>1623.2393199999999</v>
      </c>
      <c r="I277" s="102">
        <f t="shared" si="22"/>
        <v>96.649577555358405</v>
      </c>
    </row>
    <row r="278" spans="1:9" ht="63" x14ac:dyDescent="0.25">
      <c r="A278" s="20" t="s">
        <v>1016</v>
      </c>
      <c r="B278" s="218" t="s">
        <v>1015</v>
      </c>
      <c r="C278" s="217" t="s">
        <v>145</v>
      </c>
      <c r="D278" s="217" t="s">
        <v>119</v>
      </c>
      <c r="E278" s="217"/>
      <c r="F278" s="217"/>
      <c r="G278" s="9">
        <f t="shared" si="24"/>
        <v>1679.51</v>
      </c>
      <c r="H278" s="9">
        <f t="shared" si="24"/>
        <v>1623.2393199999999</v>
      </c>
      <c r="I278" s="102">
        <f t="shared" si="22"/>
        <v>96.649577555358405</v>
      </c>
    </row>
    <row r="279" spans="1:9" ht="47.25" x14ac:dyDescent="0.25">
      <c r="A279" s="20" t="s">
        <v>149</v>
      </c>
      <c r="B279" s="218" t="s">
        <v>1015</v>
      </c>
      <c r="C279" s="217" t="s">
        <v>145</v>
      </c>
      <c r="D279" s="217" t="s">
        <v>119</v>
      </c>
      <c r="E279" s="217" t="s">
        <v>150</v>
      </c>
      <c r="F279" s="217"/>
      <c r="G279" s="9">
        <f t="shared" si="24"/>
        <v>1679.51</v>
      </c>
      <c r="H279" s="9">
        <f t="shared" si="24"/>
        <v>1623.2393199999999</v>
      </c>
      <c r="I279" s="102">
        <f t="shared" si="22"/>
        <v>96.649577555358405</v>
      </c>
    </row>
    <row r="280" spans="1:9" ht="15.75" x14ac:dyDescent="0.25">
      <c r="A280" s="20" t="s">
        <v>151</v>
      </c>
      <c r="B280" s="218" t="s">
        <v>1015</v>
      </c>
      <c r="C280" s="217" t="s">
        <v>145</v>
      </c>
      <c r="D280" s="217" t="s">
        <v>119</v>
      </c>
      <c r="E280" s="217" t="s">
        <v>152</v>
      </c>
      <c r="F280" s="217"/>
      <c r="G280" s="9">
        <f>'Пр.4 Ведом23'!G829</f>
        <v>1679.51</v>
      </c>
      <c r="H280" s="9">
        <f>'Пр.4 Ведом23'!H829</f>
        <v>1623.2393199999999</v>
      </c>
      <c r="I280" s="102">
        <f t="shared" si="22"/>
        <v>96.649577555358405</v>
      </c>
    </row>
    <row r="281" spans="1:9" ht="31.5" x14ac:dyDescent="0.25">
      <c r="A281" s="19" t="s">
        <v>878</v>
      </c>
      <c r="B281" s="218" t="s">
        <v>1015</v>
      </c>
      <c r="C281" s="217" t="s">
        <v>145</v>
      </c>
      <c r="D281" s="217" t="s">
        <v>119</v>
      </c>
      <c r="E281" s="217" t="s">
        <v>152</v>
      </c>
      <c r="F281" s="217" t="s">
        <v>238</v>
      </c>
      <c r="G281" s="9">
        <f>G280</f>
        <v>1679.51</v>
      </c>
      <c r="H281" s="9">
        <f>H280</f>
        <v>1623.2393199999999</v>
      </c>
      <c r="I281" s="102">
        <f t="shared" si="22"/>
        <v>96.649577555358405</v>
      </c>
    </row>
    <row r="282" spans="1:9" ht="94.5" x14ac:dyDescent="0.25">
      <c r="A282" s="22" t="s">
        <v>1052</v>
      </c>
      <c r="B282" s="117" t="s">
        <v>1050</v>
      </c>
      <c r="C282" s="217"/>
      <c r="D282" s="217"/>
      <c r="E282" s="217"/>
      <c r="F282" s="217"/>
      <c r="G282" s="31">
        <f t="shared" ref="G282:H286" si="25">G283</f>
        <v>131.60299999999998</v>
      </c>
      <c r="H282" s="31">
        <f t="shared" si="25"/>
        <v>131.50836000000001</v>
      </c>
      <c r="I282" s="221">
        <f t="shared" si="22"/>
        <v>99.928086745742903</v>
      </c>
    </row>
    <row r="283" spans="1:9" ht="15.75" x14ac:dyDescent="0.25">
      <c r="A283" s="19" t="s">
        <v>144</v>
      </c>
      <c r="B283" s="218" t="s">
        <v>1050</v>
      </c>
      <c r="C283" s="217" t="s">
        <v>145</v>
      </c>
      <c r="D283" s="217"/>
      <c r="E283" s="217"/>
      <c r="F283" s="217"/>
      <c r="G283" s="9">
        <f t="shared" si="25"/>
        <v>131.60299999999998</v>
      </c>
      <c r="H283" s="9">
        <f t="shared" si="25"/>
        <v>131.50836000000001</v>
      </c>
      <c r="I283" s="102">
        <f t="shared" si="22"/>
        <v>99.928086745742903</v>
      </c>
    </row>
    <row r="284" spans="1:9" ht="15.75" x14ac:dyDescent="0.25">
      <c r="A284" s="19" t="s">
        <v>190</v>
      </c>
      <c r="B284" s="218" t="s">
        <v>1050</v>
      </c>
      <c r="C284" s="217" t="s">
        <v>145</v>
      </c>
      <c r="D284" s="217" t="s">
        <v>119</v>
      </c>
      <c r="E284" s="217"/>
      <c r="F284" s="217"/>
      <c r="G284" s="9">
        <f t="shared" si="25"/>
        <v>131.60299999999998</v>
      </c>
      <c r="H284" s="9">
        <f t="shared" si="25"/>
        <v>131.50836000000001</v>
      </c>
      <c r="I284" s="102">
        <f t="shared" si="22"/>
        <v>99.928086745742903</v>
      </c>
    </row>
    <row r="285" spans="1:9" ht="78.75" x14ac:dyDescent="0.25">
      <c r="A285" s="215" t="s">
        <v>1017</v>
      </c>
      <c r="B285" s="218" t="s">
        <v>1051</v>
      </c>
      <c r="C285" s="217" t="s">
        <v>145</v>
      </c>
      <c r="D285" s="217" t="s">
        <v>119</v>
      </c>
      <c r="E285" s="217"/>
      <c r="F285" s="217"/>
      <c r="G285" s="9">
        <f t="shared" si="25"/>
        <v>131.60299999999998</v>
      </c>
      <c r="H285" s="9">
        <f t="shared" si="25"/>
        <v>131.50836000000001</v>
      </c>
      <c r="I285" s="102">
        <f t="shared" si="22"/>
        <v>99.928086745742903</v>
      </c>
    </row>
    <row r="286" spans="1:9" ht="47.25" x14ac:dyDescent="0.25">
      <c r="A286" s="215" t="s">
        <v>149</v>
      </c>
      <c r="B286" s="218" t="s">
        <v>1051</v>
      </c>
      <c r="C286" s="217" t="s">
        <v>145</v>
      </c>
      <c r="D286" s="217" t="s">
        <v>119</v>
      </c>
      <c r="E286" s="217" t="s">
        <v>150</v>
      </c>
      <c r="F286" s="217"/>
      <c r="G286" s="9">
        <f t="shared" si="25"/>
        <v>131.60299999999998</v>
      </c>
      <c r="H286" s="9">
        <f t="shared" si="25"/>
        <v>131.50836000000001</v>
      </c>
      <c r="I286" s="102">
        <f t="shared" si="22"/>
        <v>99.928086745742903</v>
      </c>
    </row>
    <row r="287" spans="1:9" ht="15.75" x14ac:dyDescent="0.25">
      <c r="A287" s="215" t="s">
        <v>151</v>
      </c>
      <c r="B287" s="218" t="s">
        <v>1051</v>
      </c>
      <c r="C287" s="217" t="s">
        <v>145</v>
      </c>
      <c r="D287" s="217" t="s">
        <v>119</v>
      </c>
      <c r="E287" s="217" t="s">
        <v>152</v>
      </c>
      <c r="F287" s="217"/>
      <c r="G287" s="9">
        <f>'Пр.4 Ведом23'!G833</f>
        <v>131.60299999999998</v>
      </c>
      <c r="H287" s="9">
        <f>'Пр.4 Ведом23'!H833</f>
        <v>131.50836000000001</v>
      </c>
      <c r="I287" s="102">
        <f t="shared" si="22"/>
        <v>99.928086745742903</v>
      </c>
    </row>
    <row r="288" spans="1:9" ht="31.5" x14ac:dyDescent="0.25">
      <c r="A288" s="19" t="s">
        <v>878</v>
      </c>
      <c r="B288" s="218" t="s">
        <v>1051</v>
      </c>
      <c r="C288" s="217" t="s">
        <v>145</v>
      </c>
      <c r="D288" s="217" t="s">
        <v>119</v>
      </c>
      <c r="E288" s="217" t="s">
        <v>152</v>
      </c>
      <c r="F288" s="217" t="s">
        <v>238</v>
      </c>
      <c r="G288" s="9">
        <f>G287</f>
        <v>131.60299999999998</v>
      </c>
      <c r="H288" s="9">
        <f>H287</f>
        <v>131.50836000000001</v>
      </c>
      <c r="I288" s="102">
        <f t="shared" si="22"/>
        <v>99.928086745742903</v>
      </c>
    </row>
    <row r="289" spans="1:9" ht="47.25" x14ac:dyDescent="0.25">
      <c r="A289" s="116" t="s">
        <v>891</v>
      </c>
      <c r="B289" s="117" t="s">
        <v>147</v>
      </c>
      <c r="C289" s="117"/>
      <c r="D289" s="117"/>
      <c r="E289" s="117"/>
      <c r="F289" s="6"/>
      <c r="G289" s="31">
        <f>G290+G303+G321+G328</f>
        <v>19793.220420000001</v>
      </c>
      <c r="H289" s="31">
        <f>H290+H303+H321+H328</f>
        <v>19695.640990000004</v>
      </c>
      <c r="I289" s="221">
        <f t="shared" si="22"/>
        <v>99.507005793249292</v>
      </c>
    </row>
    <row r="290" spans="1:9" ht="47.25" x14ac:dyDescent="0.25">
      <c r="A290" s="116" t="s">
        <v>621</v>
      </c>
      <c r="B290" s="117" t="s">
        <v>560</v>
      </c>
      <c r="C290" s="117"/>
      <c r="D290" s="218"/>
      <c r="E290" s="117"/>
      <c r="F290" s="217"/>
      <c r="G290" s="31">
        <f t="shared" ref="G290:H292" si="26">G291</f>
        <v>18079.56337</v>
      </c>
      <c r="H290" s="31">
        <f t="shared" si="26"/>
        <v>18079.56337</v>
      </c>
      <c r="I290" s="221">
        <f t="shared" si="22"/>
        <v>100</v>
      </c>
    </row>
    <row r="291" spans="1:9" ht="15.75" x14ac:dyDescent="0.25">
      <c r="A291" s="215" t="s">
        <v>144</v>
      </c>
      <c r="B291" s="218" t="s">
        <v>560</v>
      </c>
      <c r="C291" s="218" t="s">
        <v>145</v>
      </c>
      <c r="D291" s="218"/>
      <c r="E291" s="117"/>
      <c r="F291" s="217"/>
      <c r="G291" s="9">
        <f t="shared" si="26"/>
        <v>18079.56337</v>
      </c>
      <c r="H291" s="9">
        <f t="shared" si="26"/>
        <v>18079.56337</v>
      </c>
      <c r="I291" s="102">
        <f t="shared" si="22"/>
        <v>100</v>
      </c>
    </row>
    <row r="292" spans="1:9" ht="15.75" x14ac:dyDescent="0.25">
      <c r="A292" s="215" t="s">
        <v>146</v>
      </c>
      <c r="B292" s="218" t="s">
        <v>560</v>
      </c>
      <c r="C292" s="218" t="s">
        <v>145</v>
      </c>
      <c r="D292" s="218" t="s">
        <v>120</v>
      </c>
      <c r="E292" s="117"/>
      <c r="F292" s="217"/>
      <c r="G292" s="9">
        <f t="shared" si="26"/>
        <v>18079.56337</v>
      </c>
      <c r="H292" s="9">
        <f t="shared" si="26"/>
        <v>18079.56337</v>
      </c>
      <c r="I292" s="102">
        <f t="shared" si="22"/>
        <v>100</v>
      </c>
    </row>
    <row r="293" spans="1:9" ht="31.5" x14ac:dyDescent="0.25">
      <c r="A293" s="215" t="s">
        <v>282</v>
      </c>
      <c r="B293" s="218" t="s">
        <v>561</v>
      </c>
      <c r="C293" s="218" t="s">
        <v>145</v>
      </c>
      <c r="D293" s="218" t="s">
        <v>120</v>
      </c>
      <c r="E293" s="218"/>
      <c r="F293" s="217"/>
      <c r="G293" s="9">
        <f>G294+G297+G300</f>
        <v>18079.56337</v>
      </c>
      <c r="H293" s="9">
        <f>H294+H297+H300</f>
        <v>18079.56337</v>
      </c>
      <c r="I293" s="102">
        <f t="shared" si="22"/>
        <v>100</v>
      </c>
    </row>
    <row r="294" spans="1:9" ht="94.5" x14ac:dyDescent="0.25">
      <c r="A294" s="215" t="s">
        <v>84</v>
      </c>
      <c r="B294" s="218" t="s">
        <v>561</v>
      </c>
      <c r="C294" s="218" t="s">
        <v>145</v>
      </c>
      <c r="D294" s="218" t="s">
        <v>120</v>
      </c>
      <c r="E294" s="218" t="s">
        <v>85</v>
      </c>
      <c r="F294" s="217"/>
      <c r="G294" s="9">
        <f>G295</f>
        <v>15535.977930000001</v>
      </c>
      <c r="H294" s="9">
        <f>H295</f>
        <v>15535.977929999999</v>
      </c>
      <c r="I294" s="102">
        <f t="shared" si="22"/>
        <v>99.999999999999986</v>
      </c>
    </row>
    <row r="295" spans="1:9" ht="31.5" x14ac:dyDescent="0.25">
      <c r="A295" s="27" t="s">
        <v>168</v>
      </c>
      <c r="B295" s="218" t="s">
        <v>561</v>
      </c>
      <c r="C295" s="218" t="s">
        <v>145</v>
      </c>
      <c r="D295" s="218" t="s">
        <v>120</v>
      </c>
      <c r="E295" s="218" t="s">
        <v>117</v>
      </c>
      <c r="F295" s="217"/>
      <c r="G295" s="9">
        <f>'Пр.4 Ведом23'!G367</f>
        <v>15535.977930000001</v>
      </c>
      <c r="H295" s="9">
        <f>'Пр.4 Ведом23'!H367</f>
        <v>15535.977929999999</v>
      </c>
      <c r="I295" s="102">
        <f t="shared" si="22"/>
        <v>99.999999999999986</v>
      </c>
    </row>
    <row r="296" spans="1:9" ht="47.25" x14ac:dyDescent="0.25">
      <c r="A296" s="215" t="s">
        <v>876</v>
      </c>
      <c r="B296" s="218" t="s">
        <v>561</v>
      </c>
      <c r="C296" s="218" t="s">
        <v>145</v>
      </c>
      <c r="D296" s="218" t="s">
        <v>120</v>
      </c>
      <c r="E296" s="218" t="s">
        <v>117</v>
      </c>
      <c r="F296" s="217" t="s">
        <v>237</v>
      </c>
      <c r="G296" s="9">
        <f>G295</f>
        <v>15535.977930000001</v>
      </c>
      <c r="H296" s="9">
        <f>H295</f>
        <v>15535.977929999999</v>
      </c>
      <c r="I296" s="102">
        <f t="shared" si="22"/>
        <v>99.999999999999986</v>
      </c>
    </row>
    <row r="297" spans="1:9" ht="31.5" x14ac:dyDescent="0.25">
      <c r="A297" s="215" t="s">
        <v>88</v>
      </c>
      <c r="B297" s="218" t="s">
        <v>561</v>
      </c>
      <c r="C297" s="218" t="s">
        <v>145</v>
      </c>
      <c r="D297" s="218" t="s">
        <v>120</v>
      </c>
      <c r="E297" s="218" t="s">
        <v>89</v>
      </c>
      <c r="F297" s="217"/>
      <c r="G297" s="9">
        <f>G298</f>
        <v>2505.4824399999998</v>
      </c>
      <c r="H297" s="9">
        <f>H298</f>
        <v>2505.4824400000002</v>
      </c>
      <c r="I297" s="102">
        <f t="shared" si="22"/>
        <v>100.00000000000003</v>
      </c>
    </row>
    <row r="298" spans="1:9" ht="47.25" x14ac:dyDescent="0.25">
      <c r="A298" s="215" t="s">
        <v>90</v>
      </c>
      <c r="B298" s="218" t="s">
        <v>561</v>
      </c>
      <c r="C298" s="218" t="s">
        <v>145</v>
      </c>
      <c r="D298" s="218" t="s">
        <v>120</v>
      </c>
      <c r="E298" s="218" t="s">
        <v>91</v>
      </c>
      <c r="F298" s="217"/>
      <c r="G298" s="9">
        <f>'Пр.4 Ведом23'!G369</f>
        <v>2505.4824399999998</v>
      </c>
      <c r="H298" s="9">
        <f>'Пр.4 Ведом23'!H369</f>
        <v>2505.4824400000002</v>
      </c>
      <c r="I298" s="102">
        <f t="shared" si="22"/>
        <v>100.00000000000003</v>
      </c>
    </row>
    <row r="299" spans="1:9" ht="47.25" x14ac:dyDescent="0.25">
      <c r="A299" s="215" t="s">
        <v>876</v>
      </c>
      <c r="B299" s="218" t="s">
        <v>561</v>
      </c>
      <c r="C299" s="218" t="s">
        <v>145</v>
      </c>
      <c r="D299" s="218" t="s">
        <v>120</v>
      </c>
      <c r="E299" s="218" t="s">
        <v>91</v>
      </c>
      <c r="F299" s="217" t="s">
        <v>237</v>
      </c>
      <c r="G299" s="9">
        <f>G298</f>
        <v>2505.4824399999998</v>
      </c>
      <c r="H299" s="9">
        <f>H298</f>
        <v>2505.4824400000002</v>
      </c>
      <c r="I299" s="102">
        <f t="shared" si="22"/>
        <v>100.00000000000003</v>
      </c>
    </row>
    <row r="300" spans="1:9" ht="15.75" x14ac:dyDescent="0.25">
      <c r="A300" s="215" t="s">
        <v>92</v>
      </c>
      <c r="B300" s="218" t="s">
        <v>561</v>
      </c>
      <c r="C300" s="218" t="s">
        <v>145</v>
      </c>
      <c r="D300" s="218" t="s">
        <v>120</v>
      </c>
      <c r="E300" s="218" t="s">
        <v>98</v>
      </c>
      <c r="F300" s="6"/>
      <c r="G300" s="9">
        <f>G301</f>
        <v>38.103000000000002</v>
      </c>
      <c r="H300" s="9">
        <f>H301</f>
        <v>38.103000000000002</v>
      </c>
      <c r="I300" s="102">
        <f t="shared" si="22"/>
        <v>100</v>
      </c>
    </row>
    <row r="301" spans="1:9" ht="15.75" x14ac:dyDescent="0.25">
      <c r="A301" s="215" t="s">
        <v>258</v>
      </c>
      <c r="B301" s="218" t="s">
        <v>561</v>
      </c>
      <c r="C301" s="218" t="s">
        <v>145</v>
      </c>
      <c r="D301" s="218" t="s">
        <v>120</v>
      </c>
      <c r="E301" s="218" t="s">
        <v>94</v>
      </c>
      <c r="F301" s="217"/>
      <c r="G301" s="9">
        <f>'Пр.4 Ведом23'!G371</f>
        <v>38.103000000000002</v>
      </c>
      <c r="H301" s="9">
        <f>'Пр.4 Ведом23'!H371</f>
        <v>38.103000000000002</v>
      </c>
      <c r="I301" s="102">
        <f t="shared" si="22"/>
        <v>100</v>
      </c>
    </row>
    <row r="302" spans="1:9" ht="47.25" x14ac:dyDescent="0.25">
      <c r="A302" s="215" t="s">
        <v>876</v>
      </c>
      <c r="B302" s="218" t="s">
        <v>561</v>
      </c>
      <c r="C302" s="218" t="s">
        <v>145</v>
      </c>
      <c r="D302" s="218" t="s">
        <v>120</v>
      </c>
      <c r="E302" s="218" t="s">
        <v>94</v>
      </c>
      <c r="F302" s="217" t="s">
        <v>237</v>
      </c>
      <c r="G302" s="9">
        <f>G301</f>
        <v>38.103000000000002</v>
      </c>
      <c r="H302" s="9">
        <f>H301</f>
        <v>38.103000000000002</v>
      </c>
      <c r="I302" s="102">
        <f t="shared" si="22"/>
        <v>100</v>
      </c>
    </row>
    <row r="303" spans="1:9" ht="31.5" x14ac:dyDescent="0.25">
      <c r="A303" s="213" t="s">
        <v>624</v>
      </c>
      <c r="B303" s="117" t="s">
        <v>562</v>
      </c>
      <c r="C303" s="117"/>
      <c r="D303" s="218"/>
      <c r="E303" s="117"/>
      <c r="F303" s="217"/>
      <c r="G303" s="31">
        <f>G304</f>
        <v>241.29</v>
      </c>
      <c r="H303" s="31">
        <f>H304</f>
        <v>241.29</v>
      </c>
      <c r="I303" s="221">
        <f t="shared" si="22"/>
        <v>100</v>
      </c>
    </row>
    <row r="304" spans="1:9" ht="15.75" x14ac:dyDescent="0.25">
      <c r="A304" s="215" t="s">
        <v>144</v>
      </c>
      <c r="B304" s="218" t="s">
        <v>562</v>
      </c>
      <c r="C304" s="218" t="s">
        <v>145</v>
      </c>
      <c r="D304" s="218"/>
      <c r="E304" s="117"/>
      <c r="F304" s="217"/>
      <c r="G304" s="9">
        <f>G305</f>
        <v>241.29</v>
      </c>
      <c r="H304" s="9">
        <f>H305</f>
        <v>241.29</v>
      </c>
      <c r="I304" s="102">
        <f t="shared" si="22"/>
        <v>100</v>
      </c>
    </row>
    <row r="305" spans="1:9" ht="15.75" x14ac:dyDescent="0.25">
      <c r="A305" s="215" t="s">
        <v>146</v>
      </c>
      <c r="B305" s="218" t="s">
        <v>562</v>
      </c>
      <c r="C305" s="218" t="s">
        <v>145</v>
      </c>
      <c r="D305" s="218" t="s">
        <v>120</v>
      </c>
      <c r="E305" s="117"/>
      <c r="F305" s="217"/>
      <c r="G305" s="9">
        <f>G306+G310+G317</f>
        <v>241.29</v>
      </c>
      <c r="H305" s="9">
        <f>H306+H310+H317</f>
        <v>241.29</v>
      </c>
      <c r="I305" s="102">
        <f t="shared" si="22"/>
        <v>100</v>
      </c>
    </row>
    <row r="306" spans="1:9" ht="34.5" customHeight="1" x14ac:dyDescent="0.25">
      <c r="A306" s="26" t="s">
        <v>281</v>
      </c>
      <c r="B306" s="218" t="s">
        <v>563</v>
      </c>
      <c r="C306" s="218" t="s">
        <v>145</v>
      </c>
      <c r="D306" s="218" t="s">
        <v>120</v>
      </c>
      <c r="E306" s="218"/>
      <c r="F306" s="217"/>
      <c r="G306" s="9">
        <f>G307</f>
        <v>45.6</v>
      </c>
      <c r="H306" s="9">
        <f>H307</f>
        <v>45.6</v>
      </c>
      <c r="I306" s="102">
        <f t="shared" si="22"/>
        <v>100</v>
      </c>
    </row>
    <row r="307" spans="1:9" ht="31.5" x14ac:dyDescent="0.25">
      <c r="A307" s="215" t="s">
        <v>137</v>
      </c>
      <c r="B307" s="218" t="s">
        <v>563</v>
      </c>
      <c r="C307" s="218" t="s">
        <v>145</v>
      </c>
      <c r="D307" s="218" t="s">
        <v>120</v>
      </c>
      <c r="E307" s="218" t="s">
        <v>138</v>
      </c>
      <c r="F307" s="217"/>
      <c r="G307" s="9">
        <f>G308</f>
        <v>45.6</v>
      </c>
      <c r="H307" s="9">
        <f>H308</f>
        <v>45.6</v>
      </c>
      <c r="I307" s="102">
        <f t="shared" si="22"/>
        <v>100</v>
      </c>
    </row>
    <row r="308" spans="1:9" ht="17.45" customHeight="1" x14ac:dyDescent="0.25">
      <c r="A308" s="215" t="s">
        <v>294</v>
      </c>
      <c r="B308" s="218" t="s">
        <v>563</v>
      </c>
      <c r="C308" s="218" t="s">
        <v>145</v>
      </c>
      <c r="D308" s="218" t="s">
        <v>120</v>
      </c>
      <c r="E308" s="218" t="s">
        <v>293</v>
      </c>
      <c r="F308" s="217"/>
      <c r="G308" s="9">
        <f>'Пр.4 Ведом23'!G384</f>
        <v>45.6</v>
      </c>
      <c r="H308" s="9">
        <f>'Пр.4 Ведом23'!H384</f>
        <v>45.6</v>
      </c>
      <c r="I308" s="102">
        <f t="shared" si="22"/>
        <v>100</v>
      </c>
    </row>
    <row r="309" spans="1:9" ht="47.45" customHeight="1" x14ac:dyDescent="0.25">
      <c r="A309" s="215" t="s">
        <v>876</v>
      </c>
      <c r="B309" s="218" t="s">
        <v>563</v>
      </c>
      <c r="C309" s="218" t="s">
        <v>145</v>
      </c>
      <c r="D309" s="218" t="s">
        <v>120</v>
      </c>
      <c r="E309" s="218" t="s">
        <v>293</v>
      </c>
      <c r="F309" s="217" t="s">
        <v>237</v>
      </c>
      <c r="G309" s="9">
        <f>G308</f>
        <v>45.6</v>
      </c>
      <c r="H309" s="9">
        <f>H308</f>
        <v>45.6</v>
      </c>
      <c r="I309" s="102">
        <f t="shared" si="22"/>
        <v>100</v>
      </c>
    </row>
    <row r="310" spans="1:9" ht="31.5" hidden="1" x14ac:dyDescent="0.25">
      <c r="A310" s="20" t="s">
        <v>290</v>
      </c>
      <c r="B310" s="218" t="s">
        <v>564</v>
      </c>
      <c r="C310" s="218" t="s">
        <v>145</v>
      </c>
      <c r="D310" s="218" t="s">
        <v>120</v>
      </c>
      <c r="E310" s="218"/>
      <c r="F310" s="217"/>
      <c r="G310" s="9">
        <f>G311</f>
        <v>97.844999999999999</v>
      </c>
      <c r="H310" s="9">
        <f>H311</f>
        <v>97.844999999999999</v>
      </c>
      <c r="I310" s="102">
        <f t="shared" si="22"/>
        <v>100</v>
      </c>
    </row>
    <row r="311" spans="1:9" ht="48.2" hidden="1" customHeight="1" x14ac:dyDescent="0.25">
      <c r="A311" s="215" t="s">
        <v>84</v>
      </c>
      <c r="B311" s="218" t="s">
        <v>564</v>
      </c>
      <c r="C311" s="218" t="s">
        <v>145</v>
      </c>
      <c r="D311" s="218" t="s">
        <v>120</v>
      </c>
      <c r="E311" s="218" t="s">
        <v>85</v>
      </c>
      <c r="F311" s="217"/>
      <c r="G311" s="9">
        <f>G312</f>
        <v>97.844999999999999</v>
      </c>
      <c r="H311" s="9">
        <f>H312</f>
        <v>97.844999999999999</v>
      </c>
      <c r="I311" s="102">
        <f t="shared" si="22"/>
        <v>100</v>
      </c>
    </row>
    <row r="312" spans="1:9" ht="15" hidden="1" customHeight="1" x14ac:dyDescent="0.25">
      <c r="A312" s="27" t="s">
        <v>168</v>
      </c>
      <c r="B312" s="218" t="s">
        <v>564</v>
      </c>
      <c r="C312" s="218" t="s">
        <v>145</v>
      </c>
      <c r="D312" s="218" t="s">
        <v>120</v>
      </c>
      <c r="E312" s="218" t="s">
        <v>117</v>
      </c>
      <c r="F312" s="217"/>
      <c r="G312" s="9">
        <f>'Пр.4 Ведом23'!G387</f>
        <v>97.844999999999999</v>
      </c>
      <c r="H312" s="9">
        <f>'Пр.4 Ведом23'!H387</f>
        <v>97.844999999999999</v>
      </c>
      <c r="I312" s="102">
        <f t="shared" si="22"/>
        <v>100</v>
      </c>
    </row>
    <row r="313" spans="1:9" ht="49.15" hidden="1" customHeight="1" x14ac:dyDescent="0.25">
      <c r="A313" s="215" t="s">
        <v>876</v>
      </c>
      <c r="B313" s="218" t="s">
        <v>564</v>
      </c>
      <c r="C313" s="218" t="s">
        <v>145</v>
      </c>
      <c r="D313" s="218" t="s">
        <v>120</v>
      </c>
      <c r="E313" s="218" t="s">
        <v>117</v>
      </c>
      <c r="F313" s="217" t="s">
        <v>237</v>
      </c>
      <c r="G313" s="9">
        <f>G312</f>
        <v>97.844999999999999</v>
      </c>
      <c r="H313" s="9">
        <f>H312</f>
        <v>97.844999999999999</v>
      </c>
      <c r="I313" s="102">
        <f t="shared" si="22"/>
        <v>100</v>
      </c>
    </row>
    <row r="314" spans="1:9" ht="35.450000000000003" hidden="1" customHeight="1" x14ac:dyDescent="0.25">
      <c r="A314" s="215" t="s">
        <v>88</v>
      </c>
      <c r="B314" s="218" t="s">
        <v>564</v>
      </c>
      <c r="C314" s="218" t="s">
        <v>145</v>
      </c>
      <c r="D314" s="218" t="s">
        <v>120</v>
      </c>
      <c r="E314" s="218" t="s">
        <v>89</v>
      </c>
      <c r="F314" s="217"/>
      <c r="G314" s="9">
        <f>G315</f>
        <v>0</v>
      </c>
      <c r="H314" s="9">
        <f>H315</f>
        <v>0</v>
      </c>
      <c r="I314" s="102" t="e">
        <f t="shared" si="22"/>
        <v>#DIV/0!</v>
      </c>
    </row>
    <row r="315" spans="1:9" ht="37.15" hidden="1" customHeight="1" x14ac:dyDescent="0.25">
      <c r="A315" s="215" t="s">
        <v>90</v>
      </c>
      <c r="B315" s="218" t="s">
        <v>564</v>
      </c>
      <c r="C315" s="218" t="s">
        <v>145</v>
      </c>
      <c r="D315" s="218" t="s">
        <v>120</v>
      </c>
      <c r="E315" s="218" t="s">
        <v>91</v>
      </c>
      <c r="F315" s="217"/>
      <c r="G315" s="9">
        <f>'Пр.4 Ведом23'!G389</f>
        <v>0</v>
      </c>
      <c r="H315" s="9">
        <f>'Пр.4 Ведом23'!H389</f>
        <v>0</v>
      </c>
      <c r="I315" s="102" t="e">
        <f t="shared" si="22"/>
        <v>#DIV/0!</v>
      </c>
    </row>
    <row r="316" spans="1:9" ht="51" hidden="1" customHeight="1" x14ac:dyDescent="0.25">
      <c r="A316" s="215" t="s">
        <v>876</v>
      </c>
      <c r="B316" s="218" t="s">
        <v>564</v>
      </c>
      <c r="C316" s="218" t="s">
        <v>145</v>
      </c>
      <c r="D316" s="218" t="s">
        <v>120</v>
      </c>
      <c r="E316" s="218" t="s">
        <v>91</v>
      </c>
      <c r="F316" s="217" t="s">
        <v>237</v>
      </c>
      <c r="G316" s="9">
        <f>G315</f>
        <v>0</v>
      </c>
      <c r="H316" s="9">
        <f>H315</f>
        <v>0</v>
      </c>
      <c r="I316" s="102" t="e">
        <f t="shared" si="22"/>
        <v>#DIV/0!</v>
      </c>
    </row>
    <row r="317" spans="1:9" ht="42.6" customHeight="1" x14ac:dyDescent="0.25">
      <c r="A317" s="274" t="s">
        <v>1053</v>
      </c>
      <c r="B317" s="268" t="s">
        <v>564</v>
      </c>
      <c r="C317" s="218" t="s">
        <v>145</v>
      </c>
      <c r="D317" s="218" t="s">
        <v>120</v>
      </c>
      <c r="E317" s="218"/>
      <c r="F317" s="217"/>
      <c r="G317" s="9">
        <f>G318</f>
        <v>97.844999999999999</v>
      </c>
      <c r="H317" s="9">
        <f>H318</f>
        <v>97.844999999999999</v>
      </c>
      <c r="I317" s="102">
        <f t="shared" si="22"/>
        <v>100</v>
      </c>
    </row>
    <row r="318" spans="1:9" ht="81.599999999999994" customHeight="1" x14ac:dyDescent="0.25">
      <c r="A318" s="267" t="s">
        <v>84</v>
      </c>
      <c r="B318" s="268" t="s">
        <v>564</v>
      </c>
      <c r="C318" s="218" t="s">
        <v>145</v>
      </c>
      <c r="D318" s="218" t="s">
        <v>120</v>
      </c>
      <c r="E318" s="218" t="s">
        <v>85</v>
      </c>
      <c r="F318" s="217"/>
      <c r="G318" s="9">
        <f>G319</f>
        <v>97.844999999999999</v>
      </c>
      <c r="H318" s="9">
        <f>H319</f>
        <v>97.844999999999999</v>
      </c>
      <c r="I318" s="102">
        <f t="shared" si="22"/>
        <v>100</v>
      </c>
    </row>
    <row r="319" spans="1:9" ht="38.450000000000003" customHeight="1" x14ac:dyDescent="0.25">
      <c r="A319" s="272" t="s">
        <v>168</v>
      </c>
      <c r="B319" s="268" t="s">
        <v>564</v>
      </c>
      <c r="C319" s="218" t="s">
        <v>145</v>
      </c>
      <c r="D319" s="218" t="s">
        <v>120</v>
      </c>
      <c r="E319" s="218" t="s">
        <v>117</v>
      </c>
      <c r="F319" s="217"/>
      <c r="G319" s="9">
        <f>'Пр.4 Ведом23'!G387</f>
        <v>97.844999999999999</v>
      </c>
      <c r="H319" s="9">
        <f>'Пр.4 Ведом23'!H387</f>
        <v>97.844999999999999</v>
      </c>
      <c r="I319" s="102">
        <f t="shared" si="22"/>
        <v>100</v>
      </c>
    </row>
    <row r="320" spans="1:9" ht="47.45" customHeight="1" x14ac:dyDescent="0.25">
      <c r="A320" s="215" t="s">
        <v>876</v>
      </c>
      <c r="B320" s="268" t="s">
        <v>564</v>
      </c>
      <c r="C320" s="218" t="s">
        <v>145</v>
      </c>
      <c r="D320" s="218" t="s">
        <v>120</v>
      </c>
      <c r="E320" s="218" t="s">
        <v>117</v>
      </c>
      <c r="F320" s="217" t="s">
        <v>237</v>
      </c>
      <c r="G320" s="9">
        <f>G319</f>
        <v>97.844999999999999</v>
      </c>
      <c r="H320" s="9">
        <f>H319</f>
        <v>97.844999999999999</v>
      </c>
      <c r="I320" s="102">
        <f t="shared" si="22"/>
        <v>100</v>
      </c>
    </row>
    <row r="321" spans="1:9" ht="47.45" customHeight="1" x14ac:dyDescent="0.25">
      <c r="A321" s="116" t="s">
        <v>380</v>
      </c>
      <c r="B321" s="117" t="s">
        <v>565</v>
      </c>
      <c r="C321" s="117"/>
      <c r="D321" s="217"/>
      <c r="E321" s="117"/>
      <c r="F321" s="217"/>
      <c r="G321" s="31">
        <f t="shared" ref="G321:H325" si="27">G322</f>
        <v>465.06704999999999</v>
      </c>
      <c r="H321" s="31">
        <f t="shared" si="27"/>
        <v>465.06704999999999</v>
      </c>
      <c r="I321" s="221">
        <f t="shared" si="22"/>
        <v>100</v>
      </c>
    </row>
    <row r="322" spans="1:9" ht="15.75" x14ac:dyDescent="0.25">
      <c r="A322" s="215" t="s">
        <v>144</v>
      </c>
      <c r="B322" s="218" t="s">
        <v>565</v>
      </c>
      <c r="C322" s="218" t="s">
        <v>145</v>
      </c>
      <c r="D322" s="218"/>
      <c r="E322" s="117"/>
      <c r="F322" s="217"/>
      <c r="G322" s="9">
        <f t="shared" si="27"/>
        <v>465.06704999999999</v>
      </c>
      <c r="H322" s="9">
        <f t="shared" si="27"/>
        <v>465.06704999999999</v>
      </c>
      <c r="I322" s="102">
        <f t="shared" si="22"/>
        <v>100</v>
      </c>
    </row>
    <row r="323" spans="1:9" ht="15.75" x14ac:dyDescent="0.25">
      <c r="A323" s="215" t="s">
        <v>146</v>
      </c>
      <c r="B323" s="218" t="s">
        <v>565</v>
      </c>
      <c r="C323" s="218" t="s">
        <v>145</v>
      </c>
      <c r="D323" s="218" t="s">
        <v>120</v>
      </c>
      <c r="E323" s="117"/>
      <c r="F323" s="217"/>
      <c r="G323" s="9">
        <f t="shared" si="27"/>
        <v>465.06704999999999</v>
      </c>
      <c r="H323" s="9">
        <f t="shared" si="27"/>
        <v>465.06704999999999</v>
      </c>
      <c r="I323" s="102">
        <f t="shared" si="22"/>
        <v>100</v>
      </c>
    </row>
    <row r="324" spans="1:9" ht="47.25" x14ac:dyDescent="0.25">
      <c r="A324" s="215" t="s">
        <v>304</v>
      </c>
      <c r="B324" s="218" t="s">
        <v>566</v>
      </c>
      <c r="C324" s="218" t="s">
        <v>145</v>
      </c>
      <c r="D324" s="218" t="s">
        <v>120</v>
      </c>
      <c r="E324" s="218"/>
      <c r="F324" s="217"/>
      <c r="G324" s="9">
        <f t="shared" si="27"/>
        <v>465.06704999999999</v>
      </c>
      <c r="H324" s="9">
        <f t="shared" si="27"/>
        <v>465.06704999999999</v>
      </c>
      <c r="I324" s="102">
        <f t="shared" si="22"/>
        <v>100</v>
      </c>
    </row>
    <row r="325" spans="1:9" ht="94.5" x14ac:dyDescent="0.25">
      <c r="A325" s="215" t="s">
        <v>84</v>
      </c>
      <c r="B325" s="218" t="s">
        <v>566</v>
      </c>
      <c r="C325" s="218" t="s">
        <v>145</v>
      </c>
      <c r="D325" s="218" t="s">
        <v>120</v>
      </c>
      <c r="E325" s="218" t="s">
        <v>85</v>
      </c>
      <c r="F325" s="217"/>
      <c r="G325" s="9">
        <f t="shared" si="27"/>
        <v>465.06704999999999</v>
      </c>
      <c r="H325" s="9">
        <f t="shared" si="27"/>
        <v>465.06704999999999</v>
      </c>
      <c r="I325" s="102">
        <f t="shared" si="22"/>
        <v>100</v>
      </c>
    </row>
    <row r="326" spans="1:9" ht="31.5" x14ac:dyDescent="0.25">
      <c r="A326" s="215" t="s">
        <v>168</v>
      </c>
      <c r="B326" s="218" t="s">
        <v>566</v>
      </c>
      <c r="C326" s="218" t="s">
        <v>145</v>
      </c>
      <c r="D326" s="218" t="s">
        <v>120</v>
      </c>
      <c r="E326" s="218" t="s">
        <v>117</v>
      </c>
      <c r="F326" s="217"/>
      <c r="G326" s="9">
        <f>'Пр.4 Ведом23'!G393</f>
        <v>465.06704999999999</v>
      </c>
      <c r="H326" s="9">
        <f>'Пр.4 Ведом23'!H393</f>
        <v>465.06704999999999</v>
      </c>
      <c r="I326" s="102">
        <f t="shared" si="22"/>
        <v>100</v>
      </c>
    </row>
    <row r="327" spans="1:9" ht="47.25" x14ac:dyDescent="0.25">
      <c r="A327" s="215" t="s">
        <v>876</v>
      </c>
      <c r="B327" s="218" t="s">
        <v>566</v>
      </c>
      <c r="C327" s="218" t="s">
        <v>145</v>
      </c>
      <c r="D327" s="218" t="s">
        <v>120</v>
      </c>
      <c r="E327" s="218" t="s">
        <v>117</v>
      </c>
      <c r="F327" s="217" t="s">
        <v>237</v>
      </c>
      <c r="G327" s="9">
        <f>G326</f>
        <v>465.06704999999999</v>
      </c>
      <c r="H327" s="9">
        <f>H326</f>
        <v>465.06704999999999</v>
      </c>
      <c r="I327" s="102">
        <f t="shared" si="22"/>
        <v>100</v>
      </c>
    </row>
    <row r="328" spans="1:9" ht="47.25" x14ac:dyDescent="0.25">
      <c r="A328" s="116" t="s">
        <v>349</v>
      </c>
      <c r="B328" s="117" t="s">
        <v>567</v>
      </c>
      <c r="C328" s="117"/>
      <c r="D328" s="217"/>
      <c r="E328" s="117"/>
      <c r="F328" s="217"/>
      <c r="G328" s="31">
        <f t="shared" ref="G328:H332" si="28">G329</f>
        <v>1007.3000000000001</v>
      </c>
      <c r="H328" s="31">
        <f t="shared" si="28"/>
        <v>909.72056999999995</v>
      </c>
      <c r="I328" s="221">
        <f t="shared" si="22"/>
        <v>90.312773751613221</v>
      </c>
    </row>
    <row r="329" spans="1:9" ht="15.75" x14ac:dyDescent="0.25">
      <c r="A329" s="215" t="s">
        <v>144</v>
      </c>
      <c r="B329" s="218" t="s">
        <v>567</v>
      </c>
      <c r="C329" s="218" t="s">
        <v>145</v>
      </c>
      <c r="D329" s="218"/>
      <c r="E329" s="117"/>
      <c r="F329" s="217"/>
      <c r="G329" s="9">
        <f t="shared" si="28"/>
        <v>1007.3000000000001</v>
      </c>
      <c r="H329" s="9">
        <f t="shared" si="28"/>
        <v>909.72056999999995</v>
      </c>
      <c r="I329" s="102">
        <f t="shared" si="22"/>
        <v>90.312773751613221</v>
      </c>
    </row>
    <row r="330" spans="1:9" ht="15.75" x14ac:dyDescent="0.25">
      <c r="A330" s="215" t="s">
        <v>146</v>
      </c>
      <c r="B330" s="218" t="s">
        <v>567</v>
      </c>
      <c r="C330" s="218" t="s">
        <v>145</v>
      </c>
      <c r="D330" s="218" t="s">
        <v>120</v>
      </c>
      <c r="E330" s="117"/>
      <c r="F330" s="217"/>
      <c r="G330" s="9">
        <f t="shared" si="28"/>
        <v>1007.3000000000001</v>
      </c>
      <c r="H330" s="9">
        <f t="shared" si="28"/>
        <v>909.72056999999995</v>
      </c>
      <c r="I330" s="102">
        <f t="shared" ref="I330:I375" si="29">H330/G330*100</f>
        <v>90.312773751613221</v>
      </c>
    </row>
    <row r="331" spans="1:9" ht="63" x14ac:dyDescent="0.25">
      <c r="A331" s="215" t="s">
        <v>852</v>
      </c>
      <c r="B331" s="218" t="s">
        <v>764</v>
      </c>
      <c r="C331" s="218" t="s">
        <v>145</v>
      </c>
      <c r="D331" s="218" t="s">
        <v>120</v>
      </c>
      <c r="E331" s="218"/>
      <c r="F331" s="217"/>
      <c r="G331" s="9">
        <f t="shared" si="28"/>
        <v>1007.3000000000001</v>
      </c>
      <c r="H331" s="9">
        <f t="shared" si="28"/>
        <v>909.72056999999995</v>
      </c>
      <c r="I331" s="102">
        <f t="shared" si="29"/>
        <v>90.312773751613221</v>
      </c>
    </row>
    <row r="332" spans="1:9" ht="99" customHeight="1" x14ac:dyDescent="0.25">
      <c r="A332" s="215" t="s">
        <v>84</v>
      </c>
      <c r="B332" s="218" t="s">
        <v>764</v>
      </c>
      <c r="C332" s="218" t="s">
        <v>145</v>
      </c>
      <c r="D332" s="218" t="s">
        <v>120</v>
      </c>
      <c r="E332" s="218" t="s">
        <v>85</v>
      </c>
      <c r="F332" s="217"/>
      <c r="G332" s="9">
        <f t="shared" si="28"/>
        <v>1007.3000000000001</v>
      </c>
      <c r="H332" s="9">
        <f t="shared" si="28"/>
        <v>909.72056999999995</v>
      </c>
      <c r="I332" s="102">
        <f t="shared" si="29"/>
        <v>90.312773751613221</v>
      </c>
    </row>
    <row r="333" spans="1:9" ht="29.45" customHeight="1" x14ac:dyDescent="0.25">
      <c r="A333" s="27" t="s">
        <v>168</v>
      </c>
      <c r="B333" s="218" t="s">
        <v>764</v>
      </c>
      <c r="C333" s="218" t="s">
        <v>145</v>
      </c>
      <c r="D333" s="218" t="s">
        <v>120</v>
      </c>
      <c r="E333" s="218" t="s">
        <v>117</v>
      </c>
      <c r="F333" s="217"/>
      <c r="G333" s="9">
        <f>'Пр.4 Ведом23'!G397</f>
        <v>1007.3000000000001</v>
      </c>
      <c r="H333" s="9">
        <f>'Пр.4 Ведом23'!H397</f>
        <v>909.72056999999995</v>
      </c>
      <c r="I333" s="102">
        <f t="shared" si="29"/>
        <v>90.312773751613221</v>
      </c>
    </row>
    <row r="334" spans="1:9" ht="54" customHeight="1" x14ac:dyDescent="0.25">
      <c r="A334" s="215" t="s">
        <v>876</v>
      </c>
      <c r="B334" s="218" t="s">
        <v>764</v>
      </c>
      <c r="C334" s="218" t="s">
        <v>145</v>
      </c>
      <c r="D334" s="218" t="s">
        <v>120</v>
      </c>
      <c r="E334" s="218" t="s">
        <v>117</v>
      </c>
      <c r="F334" s="217" t="s">
        <v>237</v>
      </c>
      <c r="G334" s="9">
        <f>G333</f>
        <v>1007.3000000000001</v>
      </c>
      <c r="H334" s="9">
        <f>H333</f>
        <v>909.72056999999995</v>
      </c>
      <c r="I334" s="102">
        <f t="shared" si="29"/>
        <v>90.312773751613221</v>
      </c>
    </row>
    <row r="335" spans="1:9" ht="63" x14ac:dyDescent="0.25">
      <c r="A335" s="116" t="s">
        <v>894</v>
      </c>
      <c r="B335" s="117" t="s">
        <v>162</v>
      </c>
      <c r="C335" s="117"/>
      <c r="D335" s="217"/>
      <c r="E335" s="217"/>
      <c r="F335" s="4"/>
      <c r="G335" s="31">
        <f>G336</f>
        <v>124.94</v>
      </c>
      <c r="H335" s="31">
        <f>H336</f>
        <v>124.937</v>
      </c>
      <c r="I335" s="221">
        <f t="shared" si="29"/>
        <v>99.997598847446781</v>
      </c>
    </row>
    <row r="336" spans="1:9" ht="63" x14ac:dyDescent="0.25">
      <c r="A336" s="22" t="s">
        <v>452</v>
      </c>
      <c r="B336" s="117" t="s">
        <v>372</v>
      </c>
      <c r="C336" s="218"/>
      <c r="D336" s="217"/>
      <c r="E336" s="217"/>
      <c r="F336" s="4"/>
      <c r="G336" s="31">
        <f>G337</f>
        <v>124.94</v>
      </c>
      <c r="H336" s="31">
        <f>H337</f>
        <v>124.937</v>
      </c>
      <c r="I336" s="221">
        <f t="shared" si="29"/>
        <v>99.997598847446781</v>
      </c>
    </row>
    <row r="337" spans="1:14" s="59" customFormat="1" ht="15.75" x14ac:dyDescent="0.25">
      <c r="A337" s="215" t="s">
        <v>144</v>
      </c>
      <c r="B337" s="218" t="s">
        <v>372</v>
      </c>
      <c r="C337" s="218" t="s">
        <v>145</v>
      </c>
      <c r="D337" s="217"/>
      <c r="E337" s="217"/>
      <c r="F337" s="4"/>
      <c r="G337" s="9">
        <f>G338+G343+G348</f>
        <v>124.94</v>
      </c>
      <c r="H337" s="9">
        <f>H338+H343+H348</f>
        <v>124.937</v>
      </c>
      <c r="I337" s="102">
        <f t="shared" si="29"/>
        <v>99.997598847446781</v>
      </c>
      <c r="J337" s="125"/>
      <c r="K337" s="125"/>
      <c r="L337" s="125"/>
      <c r="M337" s="125"/>
      <c r="N337" s="125"/>
    </row>
    <row r="338" spans="1:14" s="59" customFormat="1" ht="15.75" x14ac:dyDescent="0.25">
      <c r="A338" s="215" t="s">
        <v>188</v>
      </c>
      <c r="B338" s="218" t="s">
        <v>372</v>
      </c>
      <c r="C338" s="218" t="s">
        <v>145</v>
      </c>
      <c r="D338" s="217" t="s">
        <v>81</v>
      </c>
      <c r="E338" s="217"/>
      <c r="F338" s="4"/>
      <c r="G338" s="9">
        <f t="shared" ref="G338:H340" si="30">G339</f>
        <v>25</v>
      </c>
      <c r="H338" s="9">
        <f t="shared" si="30"/>
        <v>24.997</v>
      </c>
      <c r="I338" s="102">
        <f t="shared" si="29"/>
        <v>99.988</v>
      </c>
      <c r="J338" s="125"/>
      <c r="K338" s="125"/>
      <c r="L338" s="125"/>
      <c r="M338" s="125"/>
      <c r="N338" s="125"/>
    </row>
    <row r="339" spans="1:14" s="59" customFormat="1" ht="47.25" x14ac:dyDescent="0.25">
      <c r="A339" s="20" t="s">
        <v>494</v>
      </c>
      <c r="B339" s="218" t="s">
        <v>373</v>
      </c>
      <c r="C339" s="218" t="s">
        <v>145</v>
      </c>
      <c r="D339" s="217" t="s">
        <v>81</v>
      </c>
      <c r="E339" s="217"/>
      <c r="F339" s="4"/>
      <c r="G339" s="9">
        <f t="shared" si="30"/>
        <v>25</v>
      </c>
      <c r="H339" s="9">
        <f t="shared" si="30"/>
        <v>24.997</v>
      </c>
      <c r="I339" s="102">
        <f t="shared" si="29"/>
        <v>99.988</v>
      </c>
      <c r="J339" s="125"/>
      <c r="K339" s="125"/>
      <c r="L339" s="125"/>
      <c r="M339" s="125"/>
      <c r="N339" s="125"/>
    </row>
    <row r="340" spans="1:14" s="59" customFormat="1" ht="47.25" x14ac:dyDescent="0.25">
      <c r="A340" s="20" t="s">
        <v>149</v>
      </c>
      <c r="B340" s="218" t="s">
        <v>373</v>
      </c>
      <c r="C340" s="218" t="s">
        <v>145</v>
      </c>
      <c r="D340" s="217" t="s">
        <v>81</v>
      </c>
      <c r="E340" s="218" t="s">
        <v>150</v>
      </c>
      <c r="F340" s="4"/>
      <c r="G340" s="9">
        <f t="shared" si="30"/>
        <v>25</v>
      </c>
      <c r="H340" s="9">
        <f t="shared" si="30"/>
        <v>24.997</v>
      </c>
      <c r="I340" s="102">
        <f t="shared" si="29"/>
        <v>99.988</v>
      </c>
      <c r="J340" s="125"/>
      <c r="K340" s="125"/>
      <c r="L340" s="125"/>
      <c r="M340" s="125"/>
      <c r="N340" s="125"/>
    </row>
    <row r="341" spans="1:14" s="59" customFormat="1" ht="15.75" x14ac:dyDescent="0.25">
      <c r="A341" s="20" t="s">
        <v>151</v>
      </c>
      <c r="B341" s="218" t="s">
        <v>373</v>
      </c>
      <c r="C341" s="218" t="s">
        <v>145</v>
      </c>
      <c r="D341" s="217" t="s">
        <v>81</v>
      </c>
      <c r="E341" s="218" t="s">
        <v>152</v>
      </c>
      <c r="F341" s="4"/>
      <c r="G341" s="9">
        <f>'Пр.4 Ведом23'!G765</f>
        <v>25</v>
      </c>
      <c r="H341" s="9">
        <f>'Пр.4 Ведом23'!H765</f>
        <v>24.997</v>
      </c>
      <c r="I341" s="102">
        <f t="shared" si="29"/>
        <v>99.988</v>
      </c>
      <c r="J341" s="125"/>
      <c r="K341" s="125"/>
      <c r="L341" s="125"/>
      <c r="M341" s="125"/>
      <c r="N341" s="125"/>
    </row>
    <row r="342" spans="1:14" s="59" customFormat="1" ht="31.5" x14ac:dyDescent="0.25">
      <c r="A342" s="68" t="s">
        <v>878</v>
      </c>
      <c r="B342" s="218" t="s">
        <v>373</v>
      </c>
      <c r="C342" s="218" t="s">
        <v>145</v>
      </c>
      <c r="D342" s="217" t="s">
        <v>81</v>
      </c>
      <c r="E342" s="218" t="s">
        <v>152</v>
      </c>
      <c r="F342" s="4">
        <v>906</v>
      </c>
      <c r="G342" s="9">
        <f>G341</f>
        <v>25</v>
      </c>
      <c r="H342" s="9">
        <f>H341</f>
        <v>24.997</v>
      </c>
      <c r="I342" s="102">
        <f t="shared" si="29"/>
        <v>99.988</v>
      </c>
      <c r="J342" s="125"/>
      <c r="K342" s="125"/>
      <c r="L342" s="125"/>
      <c r="M342" s="125"/>
      <c r="N342" s="125"/>
    </row>
    <row r="343" spans="1:14" s="59" customFormat="1" ht="15.75" x14ac:dyDescent="0.25">
      <c r="A343" s="20" t="s">
        <v>190</v>
      </c>
      <c r="B343" s="218" t="s">
        <v>372</v>
      </c>
      <c r="C343" s="218" t="s">
        <v>145</v>
      </c>
      <c r="D343" s="217" t="s">
        <v>119</v>
      </c>
      <c r="E343" s="217"/>
      <c r="F343" s="4"/>
      <c r="G343" s="9">
        <f t="shared" ref="G343:H345" si="31">G344</f>
        <v>40</v>
      </c>
      <c r="H343" s="9">
        <f t="shared" si="31"/>
        <v>40</v>
      </c>
      <c r="I343" s="102">
        <f t="shared" si="29"/>
        <v>100</v>
      </c>
      <c r="J343" s="125"/>
      <c r="K343" s="125"/>
      <c r="L343" s="125"/>
      <c r="M343" s="125"/>
      <c r="N343" s="125"/>
    </row>
    <row r="344" spans="1:14" s="59" customFormat="1" ht="47.25" x14ac:dyDescent="0.25">
      <c r="A344" s="20" t="s">
        <v>494</v>
      </c>
      <c r="B344" s="218" t="s">
        <v>373</v>
      </c>
      <c r="C344" s="218" t="s">
        <v>145</v>
      </c>
      <c r="D344" s="217" t="s">
        <v>119</v>
      </c>
      <c r="E344" s="217"/>
      <c r="F344" s="4"/>
      <c r="G344" s="9">
        <f t="shared" si="31"/>
        <v>40</v>
      </c>
      <c r="H344" s="9">
        <f t="shared" si="31"/>
        <v>40</v>
      </c>
      <c r="I344" s="102">
        <f t="shared" si="29"/>
        <v>100</v>
      </c>
      <c r="J344" s="125"/>
      <c r="K344" s="125"/>
      <c r="L344" s="125"/>
      <c r="M344" s="125"/>
      <c r="N344" s="125"/>
    </row>
    <row r="345" spans="1:14" s="59" customFormat="1" ht="47.25" x14ac:dyDescent="0.25">
      <c r="A345" s="20" t="s">
        <v>149</v>
      </c>
      <c r="B345" s="218" t="s">
        <v>373</v>
      </c>
      <c r="C345" s="218" t="s">
        <v>145</v>
      </c>
      <c r="D345" s="217" t="s">
        <v>119</v>
      </c>
      <c r="E345" s="218" t="s">
        <v>150</v>
      </c>
      <c r="F345" s="4"/>
      <c r="G345" s="9">
        <f t="shared" si="31"/>
        <v>40</v>
      </c>
      <c r="H345" s="9">
        <f t="shared" si="31"/>
        <v>40</v>
      </c>
      <c r="I345" s="102">
        <f t="shared" si="29"/>
        <v>100</v>
      </c>
      <c r="J345" s="125"/>
      <c r="K345" s="125"/>
      <c r="L345" s="125"/>
      <c r="M345" s="125"/>
      <c r="N345" s="125"/>
    </row>
    <row r="346" spans="1:14" s="59" customFormat="1" ht="15.75" x14ac:dyDescent="0.25">
      <c r="A346" s="20" t="s">
        <v>151</v>
      </c>
      <c r="B346" s="218" t="s">
        <v>373</v>
      </c>
      <c r="C346" s="218" t="s">
        <v>145</v>
      </c>
      <c r="D346" s="217" t="s">
        <v>119</v>
      </c>
      <c r="E346" s="218" t="s">
        <v>152</v>
      </c>
      <c r="F346" s="4"/>
      <c r="G346" s="9">
        <f>'Пр.4 Ведом23'!G838</f>
        <v>40</v>
      </c>
      <c r="H346" s="9">
        <f>'Пр.4 Ведом23'!H838</f>
        <v>40</v>
      </c>
      <c r="I346" s="102">
        <f t="shared" si="29"/>
        <v>100</v>
      </c>
      <c r="J346" s="125"/>
      <c r="K346" s="125"/>
      <c r="L346" s="125"/>
      <c r="M346" s="125"/>
      <c r="N346" s="125"/>
    </row>
    <row r="347" spans="1:14" s="59" customFormat="1" ht="31.5" x14ac:dyDescent="0.25">
      <c r="A347" s="68" t="s">
        <v>878</v>
      </c>
      <c r="B347" s="218" t="s">
        <v>373</v>
      </c>
      <c r="C347" s="218" t="s">
        <v>145</v>
      </c>
      <c r="D347" s="217" t="s">
        <v>119</v>
      </c>
      <c r="E347" s="218" t="s">
        <v>152</v>
      </c>
      <c r="F347" s="4">
        <v>906</v>
      </c>
      <c r="G347" s="9">
        <f>G346</f>
        <v>40</v>
      </c>
      <c r="H347" s="9">
        <f>H346</f>
        <v>40</v>
      </c>
      <c r="I347" s="102">
        <f t="shared" si="29"/>
        <v>100</v>
      </c>
      <c r="J347" s="125"/>
      <c r="K347" s="125"/>
      <c r="L347" s="125"/>
      <c r="M347" s="125"/>
      <c r="N347" s="125"/>
    </row>
    <row r="348" spans="1:14" s="59" customFormat="1" ht="15.75" x14ac:dyDescent="0.25">
      <c r="A348" s="215" t="s">
        <v>146</v>
      </c>
      <c r="B348" s="218" t="s">
        <v>372</v>
      </c>
      <c r="C348" s="218" t="s">
        <v>145</v>
      </c>
      <c r="D348" s="217" t="s">
        <v>120</v>
      </c>
      <c r="E348" s="37"/>
      <c r="F348" s="2"/>
      <c r="G348" s="9">
        <f t="shared" ref="G348:H350" si="32">G349</f>
        <v>59.94</v>
      </c>
      <c r="H348" s="9">
        <f t="shared" si="32"/>
        <v>59.94</v>
      </c>
      <c r="I348" s="102">
        <f t="shared" si="29"/>
        <v>100</v>
      </c>
      <c r="J348" s="125"/>
      <c r="K348" s="125"/>
      <c r="L348" s="125"/>
      <c r="M348" s="125"/>
      <c r="N348" s="125"/>
    </row>
    <row r="349" spans="1:14" ht="47.25" x14ac:dyDescent="0.25">
      <c r="A349" s="20" t="s">
        <v>493</v>
      </c>
      <c r="B349" s="218" t="s">
        <v>453</v>
      </c>
      <c r="C349" s="218" t="s">
        <v>145</v>
      </c>
      <c r="D349" s="217" t="s">
        <v>120</v>
      </c>
      <c r="E349" s="38"/>
      <c r="F349" s="4"/>
      <c r="G349" s="9">
        <f t="shared" si="32"/>
        <v>59.94</v>
      </c>
      <c r="H349" s="9">
        <f t="shared" si="32"/>
        <v>59.94</v>
      </c>
      <c r="I349" s="102">
        <f t="shared" si="29"/>
        <v>100</v>
      </c>
    </row>
    <row r="350" spans="1:14" ht="31.5" x14ac:dyDescent="0.25">
      <c r="A350" s="215" t="s">
        <v>88</v>
      </c>
      <c r="B350" s="218" t="s">
        <v>453</v>
      </c>
      <c r="C350" s="218" t="s">
        <v>145</v>
      </c>
      <c r="D350" s="217" t="s">
        <v>120</v>
      </c>
      <c r="E350" s="218" t="s">
        <v>89</v>
      </c>
      <c r="F350" s="4"/>
      <c r="G350" s="9">
        <f t="shared" si="32"/>
        <v>59.94</v>
      </c>
      <c r="H350" s="9">
        <f t="shared" si="32"/>
        <v>59.94</v>
      </c>
      <c r="I350" s="102">
        <f t="shared" si="29"/>
        <v>100</v>
      </c>
    </row>
    <row r="351" spans="1:14" ht="47.25" x14ac:dyDescent="0.25">
      <c r="A351" s="215" t="s">
        <v>90</v>
      </c>
      <c r="B351" s="218" t="s">
        <v>453</v>
      </c>
      <c r="C351" s="218" t="s">
        <v>145</v>
      </c>
      <c r="D351" s="217" t="s">
        <v>120</v>
      </c>
      <c r="E351" s="218" t="s">
        <v>91</v>
      </c>
      <c r="F351" s="4"/>
      <c r="G351" s="9">
        <f>'Пр.4 Ведом23'!G402</f>
        <v>59.94</v>
      </c>
      <c r="H351" s="9">
        <f>'Пр.4 Ведом23'!H402</f>
        <v>59.94</v>
      </c>
      <c r="I351" s="102">
        <f t="shared" si="29"/>
        <v>100</v>
      </c>
    </row>
    <row r="352" spans="1:14" ht="47.25" x14ac:dyDescent="0.25">
      <c r="A352" s="215" t="s">
        <v>876</v>
      </c>
      <c r="B352" s="218" t="s">
        <v>453</v>
      </c>
      <c r="C352" s="218" t="s">
        <v>145</v>
      </c>
      <c r="D352" s="217" t="s">
        <v>120</v>
      </c>
      <c r="E352" s="218" t="s">
        <v>91</v>
      </c>
      <c r="F352" s="4">
        <v>903</v>
      </c>
      <c r="G352" s="9">
        <f>G351</f>
        <v>59.94</v>
      </c>
      <c r="H352" s="9">
        <f>H351</f>
        <v>59.94</v>
      </c>
      <c r="I352" s="102">
        <f t="shared" si="29"/>
        <v>100</v>
      </c>
    </row>
    <row r="353" spans="1:9" ht="63" x14ac:dyDescent="0.25">
      <c r="A353" s="130" t="s">
        <v>853</v>
      </c>
      <c r="B353" s="117" t="s">
        <v>259</v>
      </c>
      <c r="C353" s="119"/>
      <c r="D353" s="217"/>
      <c r="E353" s="117"/>
      <c r="F353" s="2"/>
      <c r="G353" s="31">
        <f>G354</f>
        <v>3794.36148</v>
      </c>
      <c r="H353" s="31">
        <f>H354</f>
        <v>3747.8066399999998</v>
      </c>
      <c r="I353" s="221">
        <f t="shared" si="29"/>
        <v>98.773052060395671</v>
      </c>
    </row>
    <row r="354" spans="1:9" ht="52.15" customHeight="1" x14ac:dyDescent="0.25">
      <c r="A354" s="130" t="s">
        <v>341</v>
      </c>
      <c r="B354" s="117" t="s">
        <v>339</v>
      </c>
      <c r="C354" s="117"/>
      <c r="D354" s="217"/>
      <c r="E354" s="117"/>
      <c r="F354" s="2"/>
      <c r="G354" s="31">
        <f>G355</f>
        <v>3794.36148</v>
      </c>
      <c r="H354" s="31">
        <f>H355</f>
        <v>3747.8066399999998</v>
      </c>
      <c r="I354" s="221">
        <f t="shared" si="29"/>
        <v>98.773052060395671</v>
      </c>
    </row>
    <row r="355" spans="1:9" ht="15.75" x14ac:dyDescent="0.25">
      <c r="A355" s="19" t="s">
        <v>144</v>
      </c>
      <c r="B355" s="218" t="s">
        <v>339</v>
      </c>
      <c r="C355" s="118" t="s">
        <v>145</v>
      </c>
      <c r="D355" s="217"/>
      <c r="E355" s="117"/>
      <c r="F355" s="2"/>
      <c r="G355" s="9">
        <f>G356+G361+G366</f>
        <v>3794.36148</v>
      </c>
      <c r="H355" s="9">
        <f>H356+H361+H366</f>
        <v>3747.8066399999998</v>
      </c>
      <c r="I355" s="102">
        <f t="shared" si="29"/>
        <v>98.773052060395671</v>
      </c>
    </row>
    <row r="356" spans="1:9" ht="15.75" x14ac:dyDescent="0.25">
      <c r="A356" s="19" t="s">
        <v>188</v>
      </c>
      <c r="B356" s="218" t="s">
        <v>339</v>
      </c>
      <c r="C356" s="118" t="s">
        <v>145</v>
      </c>
      <c r="D356" s="217" t="s">
        <v>81</v>
      </c>
      <c r="E356" s="117"/>
      <c r="F356" s="2"/>
      <c r="G356" s="9">
        <f t="shared" ref="G356:H358" si="33">G357</f>
        <v>1222.2800000000002</v>
      </c>
      <c r="H356" s="9">
        <f t="shared" si="33"/>
        <v>1207.6036999999999</v>
      </c>
      <c r="I356" s="102">
        <f t="shared" si="29"/>
        <v>98.799268580030741</v>
      </c>
    </row>
    <row r="357" spans="1:9" ht="47.25" x14ac:dyDescent="0.25">
      <c r="A357" s="26" t="s">
        <v>274</v>
      </c>
      <c r="B357" s="218" t="s">
        <v>374</v>
      </c>
      <c r="C357" s="118" t="s">
        <v>145</v>
      </c>
      <c r="D357" s="217" t="s">
        <v>81</v>
      </c>
      <c r="E357" s="118"/>
      <c r="F357" s="2"/>
      <c r="G357" s="9">
        <f t="shared" si="33"/>
        <v>1222.2800000000002</v>
      </c>
      <c r="H357" s="9">
        <f t="shared" si="33"/>
        <v>1207.6036999999999</v>
      </c>
      <c r="I357" s="102">
        <f t="shared" si="29"/>
        <v>98.799268580030741</v>
      </c>
    </row>
    <row r="358" spans="1:9" ht="47.25" x14ac:dyDescent="0.25">
      <c r="A358" s="19" t="s">
        <v>149</v>
      </c>
      <c r="B358" s="218" t="s">
        <v>374</v>
      </c>
      <c r="C358" s="118" t="s">
        <v>145</v>
      </c>
      <c r="D358" s="217" t="s">
        <v>81</v>
      </c>
      <c r="E358" s="118" t="s">
        <v>150</v>
      </c>
      <c r="F358" s="2"/>
      <c r="G358" s="9">
        <f t="shared" si="33"/>
        <v>1222.2800000000002</v>
      </c>
      <c r="H358" s="9">
        <f t="shared" si="33"/>
        <v>1207.6036999999999</v>
      </c>
      <c r="I358" s="102">
        <f t="shared" si="29"/>
        <v>98.799268580030741</v>
      </c>
    </row>
    <row r="359" spans="1:9" ht="15.75" x14ac:dyDescent="0.25">
      <c r="A359" s="68" t="s">
        <v>151</v>
      </c>
      <c r="B359" s="218" t="s">
        <v>374</v>
      </c>
      <c r="C359" s="118" t="s">
        <v>145</v>
      </c>
      <c r="D359" s="217" t="s">
        <v>81</v>
      </c>
      <c r="E359" s="118" t="s">
        <v>152</v>
      </c>
      <c r="F359" s="2"/>
      <c r="G359" s="9">
        <f>'Пр.4 Ведом23'!G770</f>
        <v>1222.2800000000002</v>
      </c>
      <c r="H359" s="9">
        <f>'Пр.4 Ведом23'!H770</f>
        <v>1207.6036999999999</v>
      </c>
      <c r="I359" s="102">
        <f t="shared" si="29"/>
        <v>98.799268580030741</v>
      </c>
    </row>
    <row r="360" spans="1:9" ht="31.5" x14ac:dyDescent="0.25">
      <c r="A360" s="68" t="s">
        <v>878</v>
      </c>
      <c r="B360" s="218" t="s">
        <v>374</v>
      </c>
      <c r="C360" s="118" t="s">
        <v>145</v>
      </c>
      <c r="D360" s="217" t="s">
        <v>81</v>
      </c>
      <c r="E360" s="118" t="s">
        <v>152</v>
      </c>
      <c r="F360" s="2">
        <v>906</v>
      </c>
      <c r="G360" s="9">
        <f>G359</f>
        <v>1222.2800000000002</v>
      </c>
      <c r="H360" s="9">
        <f>H359</f>
        <v>1207.6036999999999</v>
      </c>
      <c r="I360" s="102">
        <f t="shared" si="29"/>
        <v>98.799268580030741</v>
      </c>
    </row>
    <row r="361" spans="1:9" ht="15.75" x14ac:dyDescent="0.25">
      <c r="A361" s="19" t="s">
        <v>190</v>
      </c>
      <c r="B361" s="218" t="s">
        <v>339</v>
      </c>
      <c r="C361" s="118" t="s">
        <v>145</v>
      </c>
      <c r="D361" s="217" t="s">
        <v>119</v>
      </c>
      <c r="E361" s="117"/>
      <c r="F361" s="2"/>
      <c r="G361" s="9">
        <f t="shared" ref="G361:H363" si="34">G362</f>
        <v>1686.4390000000001</v>
      </c>
      <c r="H361" s="9">
        <f t="shared" si="34"/>
        <v>1654.6885</v>
      </c>
      <c r="I361" s="102">
        <f t="shared" si="29"/>
        <v>98.117305161941815</v>
      </c>
    </row>
    <row r="362" spans="1:9" ht="47.25" x14ac:dyDescent="0.25">
      <c r="A362" s="26" t="s">
        <v>274</v>
      </c>
      <c r="B362" s="218" t="s">
        <v>374</v>
      </c>
      <c r="C362" s="118" t="s">
        <v>145</v>
      </c>
      <c r="D362" s="217" t="s">
        <v>119</v>
      </c>
      <c r="E362" s="118"/>
      <c r="F362" s="2"/>
      <c r="G362" s="9">
        <f t="shared" si="34"/>
        <v>1686.4390000000001</v>
      </c>
      <c r="H362" s="9">
        <f t="shared" si="34"/>
        <v>1654.6885</v>
      </c>
      <c r="I362" s="102">
        <f t="shared" si="29"/>
        <v>98.117305161941815</v>
      </c>
    </row>
    <row r="363" spans="1:9" ht="47.25" x14ac:dyDescent="0.25">
      <c r="A363" s="19" t="s">
        <v>149</v>
      </c>
      <c r="B363" s="218" t="s">
        <v>374</v>
      </c>
      <c r="C363" s="118" t="s">
        <v>145</v>
      </c>
      <c r="D363" s="217" t="s">
        <v>119</v>
      </c>
      <c r="E363" s="118" t="s">
        <v>150</v>
      </c>
      <c r="F363" s="2"/>
      <c r="G363" s="9">
        <f t="shared" si="34"/>
        <v>1686.4390000000001</v>
      </c>
      <c r="H363" s="9">
        <f t="shared" si="34"/>
        <v>1654.6885</v>
      </c>
      <c r="I363" s="102">
        <f t="shared" si="29"/>
        <v>98.117305161941815</v>
      </c>
    </row>
    <row r="364" spans="1:9" ht="15.75" x14ac:dyDescent="0.25">
      <c r="A364" s="68" t="s">
        <v>151</v>
      </c>
      <c r="B364" s="218" t="s">
        <v>374</v>
      </c>
      <c r="C364" s="118" t="s">
        <v>145</v>
      </c>
      <c r="D364" s="217" t="s">
        <v>119</v>
      </c>
      <c r="E364" s="118" t="s">
        <v>152</v>
      </c>
      <c r="F364" s="2"/>
      <c r="G364" s="9">
        <f>'Пр.4 Ведом23'!G843</f>
        <v>1686.4390000000001</v>
      </c>
      <c r="H364" s="9">
        <f>'Пр.4 Ведом23'!H843</f>
        <v>1654.6885</v>
      </c>
      <c r="I364" s="102">
        <f t="shared" si="29"/>
        <v>98.117305161941815</v>
      </c>
    </row>
    <row r="365" spans="1:9" ht="31.5" x14ac:dyDescent="0.25">
      <c r="A365" s="68" t="s">
        <v>878</v>
      </c>
      <c r="B365" s="218" t="s">
        <v>374</v>
      </c>
      <c r="C365" s="118" t="s">
        <v>145</v>
      </c>
      <c r="D365" s="217" t="s">
        <v>119</v>
      </c>
      <c r="E365" s="118" t="s">
        <v>152</v>
      </c>
      <c r="F365" s="2">
        <v>906</v>
      </c>
      <c r="G365" s="9">
        <f>G364</f>
        <v>1686.4390000000001</v>
      </c>
      <c r="H365" s="9">
        <f>H364</f>
        <v>1654.6885</v>
      </c>
      <c r="I365" s="102">
        <f t="shared" si="29"/>
        <v>98.117305161941815</v>
      </c>
    </row>
    <row r="366" spans="1:9" ht="15.75" x14ac:dyDescent="0.25">
      <c r="A366" s="19" t="s">
        <v>146</v>
      </c>
      <c r="B366" s="218" t="s">
        <v>339</v>
      </c>
      <c r="C366" s="118" t="s">
        <v>145</v>
      </c>
      <c r="D366" s="217" t="s">
        <v>120</v>
      </c>
      <c r="E366" s="117"/>
      <c r="F366" s="2"/>
      <c r="G366" s="9">
        <f>G367+G371</f>
        <v>885.64247999999998</v>
      </c>
      <c r="H366" s="9">
        <f>H367+H371</f>
        <v>885.51444000000004</v>
      </c>
      <c r="I366" s="102">
        <f t="shared" si="29"/>
        <v>99.98554269890036</v>
      </c>
    </row>
    <row r="367" spans="1:9" ht="47.25" x14ac:dyDescent="0.25">
      <c r="A367" s="26" t="s">
        <v>433</v>
      </c>
      <c r="B367" s="218" t="s">
        <v>340</v>
      </c>
      <c r="C367" s="118" t="s">
        <v>145</v>
      </c>
      <c r="D367" s="217" t="s">
        <v>120</v>
      </c>
      <c r="E367" s="118"/>
      <c r="F367" s="2"/>
      <c r="G367" s="9">
        <f>G368</f>
        <v>315.72247999999996</v>
      </c>
      <c r="H367" s="9">
        <f>H368</f>
        <v>315.72248000000002</v>
      </c>
      <c r="I367" s="102">
        <f t="shared" si="29"/>
        <v>100.00000000000003</v>
      </c>
    </row>
    <row r="368" spans="1:9" ht="31.5" x14ac:dyDescent="0.25">
      <c r="A368" s="215" t="s">
        <v>88</v>
      </c>
      <c r="B368" s="218" t="s">
        <v>340</v>
      </c>
      <c r="C368" s="118" t="s">
        <v>145</v>
      </c>
      <c r="D368" s="217" t="s">
        <v>120</v>
      </c>
      <c r="E368" s="118" t="s">
        <v>89</v>
      </c>
      <c r="F368" s="2"/>
      <c r="G368" s="9">
        <f>G369</f>
        <v>315.72247999999996</v>
      </c>
      <c r="H368" s="9">
        <f>H369</f>
        <v>315.72248000000002</v>
      </c>
      <c r="I368" s="102">
        <f t="shared" si="29"/>
        <v>100.00000000000003</v>
      </c>
    </row>
    <row r="369" spans="1:14" ht="47.25" x14ac:dyDescent="0.25">
      <c r="A369" s="215" t="s">
        <v>90</v>
      </c>
      <c r="B369" s="218" t="s">
        <v>340</v>
      </c>
      <c r="C369" s="118" t="s">
        <v>145</v>
      </c>
      <c r="D369" s="217" t="s">
        <v>120</v>
      </c>
      <c r="E369" s="118" t="s">
        <v>91</v>
      </c>
      <c r="F369" s="2"/>
      <c r="G369" s="9">
        <f>'Пр.4 Ведом23'!G407</f>
        <v>315.72247999999996</v>
      </c>
      <c r="H369" s="9">
        <f>'Пр.4 Ведом23'!H407</f>
        <v>315.72248000000002</v>
      </c>
      <c r="I369" s="102">
        <f t="shared" si="29"/>
        <v>100.00000000000003</v>
      </c>
    </row>
    <row r="370" spans="1:14" ht="47.25" x14ac:dyDescent="0.25">
      <c r="A370" s="215" t="s">
        <v>876</v>
      </c>
      <c r="B370" s="218" t="s">
        <v>340</v>
      </c>
      <c r="C370" s="118" t="s">
        <v>145</v>
      </c>
      <c r="D370" s="217" t="s">
        <v>120</v>
      </c>
      <c r="E370" s="118" t="s">
        <v>91</v>
      </c>
      <c r="F370" s="2">
        <v>903</v>
      </c>
      <c r="G370" s="9">
        <f>G369</f>
        <v>315.72247999999996</v>
      </c>
      <c r="H370" s="9">
        <f>H369</f>
        <v>315.72248000000002</v>
      </c>
      <c r="I370" s="102">
        <f t="shared" si="29"/>
        <v>100.00000000000003</v>
      </c>
    </row>
    <row r="371" spans="1:14" ht="47.25" x14ac:dyDescent="0.25">
      <c r="A371" s="26" t="s">
        <v>274</v>
      </c>
      <c r="B371" s="218" t="s">
        <v>374</v>
      </c>
      <c r="C371" s="118" t="s">
        <v>145</v>
      </c>
      <c r="D371" s="217" t="s">
        <v>120</v>
      </c>
      <c r="E371" s="118"/>
      <c r="F371" s="2"/>
      <c r="G371" s="9">
        <f>G372</f>
        <v>569.91999999999996</v>
      </c>
      <c r="H371" s="9">
        <f>H372</f>
        <v>569.79196000000002</v>
      </c>
      <c r="I371" s="102">
        <f t="shared" si="29"/>
        <v>99.97753368893882</v>
      </c>
    </row>
    <row r="372" spans="1:14" ht="47.25" x14ac:dyDescent="0.25">
      <c r="A372" s="19" t="s">
        <v>149</v>
      </c>
      <c r="B372" s="218" t="s">
        <v>374</v>
      </c>
      <c r="C372" s="118" t="s">
        <v>145</v>
      </c>
      <c r="D372" s="217" t="s">
        <v>120</v>
      </c>
      <c r="E372" s="118" t="s">
        <v>150</v>
      </c>
      <c r="F372" s="2"/>
      <c r="G372" s="9">
        <f>G373</f>
        <v>569.91999999999996</v>
      </c>
      <c r="H372" s="9">
        <f>H373</f>
        <v>569.79196000000002</v>
      </c>
      <c r="I372" s="102">
        <f t="shared" si="29"/>
        <v>99.97753368893882</v>
      </c>
    </row>
    <row r="373" spans="1:14" ht="15.75" x14ac:dyDescent="0.25">
      <c r="A373" s="68" t="s">
        <v>151</v>
      </c>
      <c r="B373" s="218" t="s">
        <v>374</v>
      </c>
      <c r="C373" s="118" t="s">
        <v>145</v>
      </c>
      <c r="D373" s="217" t="s">
        <v>120</v>
      </c>
      <c r="E373" s="118" t="s">
        <v>152</v>
      </c>
      <c r="F373" s="2"/>
      <c r="G373" s="9">
        <f>'Пр.4 Ведом23'!G876</f>
        <v>569.91999999999996</v>
      </c>
      <c r="H373" s="9">
        <f>'Пр.4 Ведом23'!H876</f>
        <v>569.79196000000002</v>
      </c>
      <c r="I373" s="102">
        <f t="shared" si="29"/>
        <v>99.97753368893882</v>
      </c>
    </row>
    <row r="374" spans="1:14" ht="31.5" x14ac:dyDescent="0.25">
      <c r="A374" s="68" t="s">
        <v>878</v>
      </c>
      <c r="B374" s="218" t="s">
        <v>374</v>
      </c>
      <c r="C374" s="118" t="s">
        <v>145</v>
      </c>
      <c r="D374" s="217" t="s">
        <v>120</v>
      </c>
      <c r="E374" s="118" t="s">
        <v>152</v>
      </c>
      <c r="F374" s="2">
        <v>906</v>
      </c>
      <c r="G374" s="9">
        <f>G373</f>
        <v>569.91999999999996</v>
      </c>
      <c r="H374" s="9">
        <f>H373</f>
        <v>569.79196000000002</v>
      </c>
      <c r="I374" s="102">
        <f t="shared" si="29"/>
        <v>99.97753368893882</v>
      </c>
    </row>
    <row r="375" spans="1:14" s="214" customFormat="1" ht="15.75" x14ac:dyDescent="0.25">
      <c r="A375" s="22" t="s">
        <v>897</v>
      </c>
      <c r="B375" s="117"/>
      <c r="C375" s="6"/>
      <c r="D375" s="6"/>
      <c r="E375" s="6"/>
      <c r="F375" s="3"/>
      <c r="G375" s="31">
        <f>G53+G115+G289+G335+G353+G9+G45</f>
        <v>406610.87020000006</v>
      </c>
      <c r="H375" s="31">
        <f>H53+H115+H289+H335+H353+H9+H45</f>
        <v>401980.2166199999</v>
      </c>
      <c r="I375" s="221">
        <f t="shared" si="29"/>
        <v>98.86115843933969</v>
      </c>
      <c r="J375" s="231"/>
      <c r="K375" s="231"/>
      <c r="L375" s="231"/>
      <c r="M375" s="231"/>
      <c r="N375" s="231"/>
    </row>
  </sheetData>
  <mergeCells count="16">
    <mergeCell ref="I7:I8"/>
    <mergeCell ref="F1:G1"/>
    <mergeCell ref="F2:G2"/>
    <mergeCell ref="F3:G3"/>
    <mergeCell ref="A5:I5"/>
    <mergeCell ref="A7:A8"/>
    <mergeCell ref="B7:B8"/>
    <mergeCell ref="C7:C8"/>
    <mergeCell ref="D7:D8"/>
    <mergeCell ref="E7:E8"/>
    <mergeCell ref="F7:F8"/>
    <mergeCell ref="H3:I3"/>
    <mergeCell ref="H2:I2"/>
    <mergeCell ref="H1:I1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80" zoomScaleNormal="100" zoomScaleSheetLayoutView="80" workbookViewId="0">
      <selection activeCell="H1" sqref="H1:I3"/>
    </sheetView>
  </sheetViews>
  <sheetFormatPr defaultRowHeight="15" x14ac:dyDescent="0.25"/>
  <cols>
    <col min="1" max="1" width="44.28515625" customWidth="1"/>
    <col min="2" max="2" width="15.5703125" style="75" customWidth="1"/>
    <col min="3" max="3" width="7.140625" customWidth="1"/>
    <col min="4" max="4" width="6.28515625" customWidth="1"/>
    <col min="5" max="5" width="7.28515625" style="75" customWidth="1"/>
    <col min="6" max="6" width="10.140625" customWidth="1"/>
    <col min="7" max="8" width="12.5703125" style="15" customWidth="1"/>
    <col min="9" max="9" width="13.28515625" style="15" customWidth="1"/>
  </cols>
  <sheetData>
    <row r="1" spans="1:9" ht="18.75" customHeight="1" x14ac:dyDescent="0.25">
      <c r="A1" s="611"/>
      <c r="B1" s="611"/>
      <c r="C1" s="611"/>
      <c r="D1" s="33"/>
      <c r="E1" s="33"/>
      <c r="F1" s="612"/>
      <c r="G1" s="612"/>
      <c r="H1" s="610" t="s">
        <v>1012</v>
      </c>
      <c r="I1" s="610"/>
    </row>
    <row r="2" spans="1:9" ht="18.75" customHeight="1" x14ac:dyDescent="0.25">
      <c r="A2" s="611"/>
      <c r="B2" s="611"/>
      <c r="C2" s="611"/>
      <c r="D2" s="33"/>
      <c r="E2" s="33"/>
      <c r="F2" s="612"/>
      <c r="G2" s="612"/>
      <c r="H2" s="610" t="s">
        <v>1049</v>
      </c>
      <c r="I2" s="610"/>
    </row>
    <row r="3" spans="1:9" ht="15.75" x14ac:dyDescent="0.25">
      <c r="A3" s="33"/>
      <c r="B3" s="33"/>
      <c r="C3" s="33"/>
      <c r="D3" s="33"/>
      <c r="E3" s="33"/>
      <c r="F3" s="612"/>
      <c r="G3" s="612"/>
      <c r="H3" s="610" t="s">
        <v>1162</v>
      </c>
      <c r="I3" s="610"/>
    </row>
    <row r="4" spans="1:9" s="75" customFormat="1" ht="15.75" x14ac:dyDescent="0.25">
      <c r="A4" s="33"/>
      <c r="B4" s="33"/>
      <c r="C4" s="33"/>
      <c r="D4" s="33"/>
      <c r="E4" s="33"/>
      <c r="F4" s="33"/>
      <c r="G4" s="91"/>
      <c r="H4" s="222"/>
      <c r="I4" s="222"/>
    </row>
    <row r="5" spans="1:9" s="75" customFormat="1" ht="15.75" hidden="1" x14ac:dyDescent="0.25">
      <c r="A5" s="33"/>
      <c r="B5" s="33"/>
      <c r="C5" s="33"/>
      <c r="D5" s="33"/>
      <c r="E5" s="33"/>
      <c r="F5" s="33"/>
      <c r="G5" s="91"/>
      <c r="H5" s="222"/>
      <c r="I5" s="222"/>
    </row>
    <row r="6" spans="1:9" ht="14.45" customHeight="1" x14ac:dyDescent="0.25">
      <c r="A6" s="613" t="s">
        <v>1135</v>
      </c>
      <c r="B6" s="613"/>
      <c r="C6" s="613"/>
      <c r="D6" s="613"/>
      <c r="E6" s="613"/>
      <c r="F6" s="613"/>
      <c r="G6" s="613"/>
      <c r="H6" s="613"/>
      <c r="I6" s="613"/>
    </row>
    <row r="7" spans="1:9" ht="14.45" customHeight="1" x14ac:dyDescent="0.25">
      <c r="A7" s="613"/>
      <c r="B7" s="613"/>
      <c r="C7" s="613"/>
      <c r="D7" s="613"/>
      <c r="E7" s="613"/>
      <c r="F7" s="613"/>
      <c r="G7" s="613"/>
      <c r="H7" s="613"/>
      <c r="I7" s="613"/>
    </row>
    <row r="8" spans="1:9" ht="16.5" x14ac:dyDescent="0.25">
      <c r="A8" s="87"/>
      <c r="B8" s="87"/>
      <c r="C8" s="87"/>
      <c r="D8" s="87"/>
      <c r="E8" s="87"/>
      <c r="F8" s="87"/>
      <c r="G8" s="103"/>
      <c r="H8" s="103"/>
      <c r="I8" s="103"/>
    </row>
    <row r="9" spans="1:9" ht="15.75" x14ac:dyDescent="0.25">
      <c r="A9" s="33"/>
      <c r="B9" s="33"/>
      <c r="C9" s="33"/>
      <c r="D9" s="33"/>
      <c r="E9" s="33"/>
      <c r="F9" s="35"/>
      <c r="G9" s="99"/>
      <c r="H9" s="223"/>
      <c r="I9" s="223"/>
    </row>
    <row r="10" spans="1:9" s="131" customFormat="1" ht="15.6" customHeight="1" x14ac:dyDescent="0.25">
      <c r="A10" s="616" t="s">
        <v>234</v>
      </c>
      <c r="B10" s="616" t="s">
        <v>502</v>
      </c>
      <c r="C10" s="616" t="s">
        <v>500</v>
      </c>
      <c r="D10" s="616" t="s">
        <v>77</v>
      </c>
      <c r="E10" s="616" t="s">
        <v>501</v>
      </c>
      <c r="F10" s="616" t="s">
        <v>75</v>
      </c>
      <c r="G10" s="614" t="s">
        <v>1127</v>
      </c>
      <c r="H10" s="614" t="s">
        <v>1128</v>
      </c>
      <c r="I10" s="614" t="s">
        <v>1129</v>
      </c>
    </row>
    <row r="11" spans="1:9" ht="53.65" customHeight="1" x14ac:dyDescent="0.25">
      <c r="A11" s="616"/>
      <c r="B11" s="616"/>
      <c r="C11" s="616"/>
      <c r="D11" s="616"/>
      <c r="E11" s="616"/>
      <c r="F11" s="616"/>
      <c r="G11" s="615"/>
      <c r="H11" s="615"/>
      <c r="I11" s="615"/>
    </row>
    <row r="12" spans="1:9" s="75" customFormat="1" ht="33.4" customHeight="1" x14ac:dyDescent="0.25">
      <c r="A12" s="17" t="s">
        <v>136</v>
      </c>
      <c r="B12" s="14" t="s">
        <v>337</v>
      </c>
      <c r="C12" s="36"/>
      <c r="D12" s="36"/>
      <c r="E12" s="36"/>
      <c r="F12" s="36"/>
      <c r="G12" s="104">
        <f t="shared" ref="G12:H15" si="0">G13</f>
        <v>13526.847899999999</v>
      </c>
      <c r="H12" s="104">
        <f t="shared" si="0"/>
        <v>13526.847900000001</v>
      </c>
      <c r="I12" s="104">
        <f>H12/G12*100</f>
        <v>100.00000000000003</v>
      </c>
    </row>
    <row r="13" spans="1:9" s="75" customFormat="1" ht="18.399999999999999" customHeight="1" x14ac:dyDescent="0.25">
      <c r="A13" s="17" t="s">
        <v>133</v>
      </c>
      <c r="B13" s="14" t="s">
        <v>337</v>
      </c>
      <c r="C13" s="36">
        <v>10</v>
      </c>
      <c r="D13" s="36"/>
      <c r="E13" s="36"/>
      <c r="F13" s="36"/>
      <c r="G13" s="104">
        <f t="shared" si="0"/>
        <v>13526.847899999999</v>
      </c>
      <c r="H13" s="104">
        <f t="shared" si="0"/>
        <v>13526.847900000001</v>
      </c>
      <c r="I13" s="104">
        <f t="shared" ref="I13:I48" si="1">H13/G13*100</f>
        <v>100.00000000000003</v>
      </c>
    </row>
    <row r="14" spans="1:9" s="75" customFormat="1" ht="18.399999999999999" customHeight="1" x14ac:dyDescent="0.25">
      <c r="A14" s="17" t="s">
        <v>135</v>
      </c>
      <c r="B14" s="14" t="s">
        <v>337</v>
      </c>
      <c r="C14" s="36">
        <v>10</v>
      </c>
      <c r="D14" s="23" t="s">
        <v>81</v>
      </c>
      <c r="E14" s="36"/>
      <c r="F14" s="36"/>
      <c r="G14" s="104">
        <f t="shared" si="0"/>
        <v>13526.847899999999</v>
      </c>
      <c r="H14" s="104">
        <f t="shared" si="0"/>
        <v>13526.847900000001</v>
      </c>
      <c r="I14" s="104">
        <f t="shared" si="1"/>
        <v>100.00000000000003</v>
      </c>
    </row>
    <row r="15" spans="1:9" s="75" customFormat="1" ht="28.15" customHeight="1" x14ac:dyDescent="0.25">
      <c r="A15" s="19" t="s">
        <v>137</v>
      </c>
      <c r="B15" s="14" t="s">
        <v>337</v>
      </c>
      <c r="C15" s="36">
        <v>10</v>
      </c>
      <c r="D15" s="23" t="s">
        <v>81</v>
      </c>
      <c r="E15" s="36">
        <v>300</v>
      </c>
      <c r="F15" s="36"/>
      <c r="G15" s="104">
        <f t="shared" si="0"/>
        <v>13526.847899999999</v>
      </c>
      <c r="H15" s="104">
        <f t="shared" si="0"/>
        <v>13526.847900000001</v>
      </c>
      <c r="I15" s="104">
        <f t="shared" si="1"/>
        <v>100.00000000000003</v>
      </c>
    </row>
    <row r="16" spans="1:9" s="75" customFormat="1" ht="34.700000000000003" customHeight="1" x14ac:dyDescent="0.25">
      <c r="A16" s="17" t="s">
        <v>172</v>
      </c>
      <c r="B16" s="14" t="s">
        <v>337</v>
      </c>
      <c r="C16" s="36">
        <v>10</v>
      </c>
      <c r="D16" s="23" t="s">
        <v>81</v>
      </c>
      <c r="E16" s="36">
        <v>310</v>
      </c>
      <c r="F16" s="36"/>
      <c r="G16" s="104">
        <f>'Пр.4 Ведом23'!G271</f>
        <v>13526.847899999999</v>
      </c>
      <c r="H16" s="104">
        <f>'Пр.4 Ведом23'!H271</f>
        <v>13526.847900000001</v>
      </c>
      <c r="I16" s="104">
        <f t="shared" si="1"/>
        <v>100.00000000000003</v>
      </c>
    </row>
    <row r="17" spans="1:9" s="75" customFormat="1" ht="37.35" customHeight="1" x14ac:dyDescent="0.25">
      <c r="A17" s="98" t="s">
        <v>101</v>
      </c>
      <c r="B17" s="14" t="s">
        <v>337</v>
      </c>
      <c r="C17" s="36">
        <v>10</v>
      </c>
      <c r="D17" s="23" t="s">
        <v>81</v>
      </c>
      <c r="E17" s="36">
        <v>310</v>
      </c>
      <c r="F17" s="36">
        <v>902</v>
      </c>
      <c r="G17" s="104">
        <f>G12</f>
        <v>13526.847899999999</v>
      </c>
      <c r="H17" s="104">
        <f>H12</f>
        <v>13526.847900000001</v>
      </c>
      <c r="I17" s="104">
        <f t="shared" si="1"/>
        <v>100.00000000000003</v>
      </c>
    </row>
    <row r="18" spans="1:9" s="75" customFormat="1" ht="63" hidden="1" x14ac:dyDescent="0.25">
      <c r="A18" s="85" t="s">
        <v>459</v>
      </c>
      <c r="B18" s="14" t="s">
        <v>470</v>
      </c>
      <c r="C18" s="23"/>
      <c r="D18" s="23"/>
      <c r="E18" s="23"/>
      <c r="F18" s="4"/>
      <c r="G18" s="5">
        <f t="shared" ref="G18:H22" si="2">G19</f>
        <v>0</v>
      </c>
      <c r="H18" s="114">
        <f t="shared" si="2"/>
        <v>0</v>
      </c>
      <c r="I18" s="104" t="e">
        <f t="shared" si="1"/>
        <v>#DIV/0!</v>
      </c>
    </row>
    <row r="19" spans="1:9" s="75" customFormat="1" ht="15.75" hidden="1" x14ac:dyDescent="0.25">
      <c r="A19" s="26" t="s">
        <v>144</v>
      </c>
      <c r="B19" s="14" t="s">
        <v>470</v>
      </c>
      <c r="C19" s="23" t="s">
        <v>145</v>
      </c>
      <c r="D19" s="23"/>
      <c r="E19" s="74"/>
      <c r="F19" s="4"/>
      <c r="G19" s="5">
        <f t="shared" si="2"/>
        <v>0</v>
      </c>
      <c r="H19" s="114">
        <f t="shared" si="2"/>
        <v>0</v>
      </c>
      <c r="I19" s="104" t="e">
        <f t="shared" si="1"/>
        <v>#DIV/0!</v>
      </c>
    </row>
    <row r="20" spans="1:9" s="75" customFormat="1" ht="31.5" hidden="1" x14ac:dyDescent="0.25">
      <c r="A20" s="26" t="s">
        <v>193</v>
      </c>
      <c r="B20" s="14" t="s">
        <v>470</v>
      </c>
      <c r="C20" s="23" t="s">
        <v>145</v>
      </c>
      <c r="D20" s="23" t="s">
        <v>145</v>
      </c>
      <c r="E20" s="74"/>
      <c r="F20" s="4"/>
      <c r="G20" s="5">
        <f t="shared" si="2"/>
        <v>0</v>
      </c>
      <c r="H20" s="114">
        <f t="shared" si="2"/>
        <v>0</v>
      </c>
      <c r="I20" s="104" t="e">
        <f t="shared" si="1"/>
        <v>#DIV/0!</v>
      </c>
    </row>
    <row r="21" spans="1:9" ht="31.5" hidden="1" x14ac:dyDescent="0.25">
      <c r="A21" s="19" t="s">
        <v>137</v>
      </c>
      <c r="B21" s="14" t="s">
        <v>470</v>
      </c>
      <c r="C21" s="23" t="s">
        <v>145</v>
      </c>
      <c r="D21" s="23" t="s">
        <v>145</v>
      </c>
      <c r="E21" s="23" t="s">
        <v>138</v>
      </c>
      <c r="F21" s="4"/>
      <c r="G21" s="5">
        <f t="shared" si="2"/>
        <v>0</v>
      </c>
      <c r="H21" s="114">
        <f t="shared" si="2"/>
        <v>0</v>
      </c>
      <c r="I21" s="104" t="e">
        <f t="shared" si="1"/>
        <v>#DIV/0!</v>
      </c>
    </row>
    <row r="22" spans="1:9" ht="38.1" hidden="1" customHeight="1" x14ac:dyDescent="0.25">
      <c r="A22" s="19" t="s">
        <v>554</v>
      </c>
      <c r="B22" s="14" t="s">
        <v>470</v>
      </c>
      <c r="C22" s="23" t="s">
        <v>145</v>
      </c>
      <c r="D22" s="23" t="s">
        <v>145</v>
      </c>
      <c r="E22" s="23" t="s">
        <v>553</v>
      </c>
      <c r="F22" s="4"/>
      <c r="G22" s="5">
        <f t="shared" si="2"/>
        <v>0</v>
      </c>
      <c r="H22" s="114">
        <f t="shared" si="2"/>
        <v>0</v>
      </c>
      <c r="I22" s="104" t="e">
        <f t="shared" si="1"/>
        <v>#DIV/0!</v>
      </c>
    </row>
    <row r="23" spans="1:9" s="75" customFormat="1" ht="46.9" hidden="1" customHeight="1" x14ac:dyDescent="0.25">
      <c r="A23" s="26" t="s">
        <v>241</v>
      </c>
      <c r="B23" s="14" t="s">
        <v>470</v>
      </c>
      <c r="C23" s="23" t="s">
        <v>145</v>
      </c>
      <c r="D23" s="23" t="s">
        <v>145</v>
      </c>
      <c r="E23" s="23" t="s">
        <v>553</v>
      </c>
      <c r="F23" s="4">
        <v>903</v>
      </c>
      <c r="G23" s="5"/>
      <c r="H23" s="114"/>
      <c r="I23" s="104" t="e">
        <f t="shared" si="1"/>
        <v>#DIV/0!</v>
      </c>
    </row>
    <row r="24" spans="1:9" s="75" customFormat="1" ht="18.399999999999999" customHeight="1" x14ac:dyDescent="0.25">
      <c r="A24" s="17" t="s">
        <v>461</v>
      </c>
      <c r="B24" s="14" t="s">
        <v>356</v>
      </c>
      <c r="C24" s="23"/>
      <c r="D24" s="23"/>
      <c r="E24" s="23"/>
      <c r="F24" s="4"/>
      <c r="G24" s="5">
        <f t="shared" ref="G24:H28" si="3">G25</f>
        <v>320</v>
      </c>
      <c r="H24" s="114">
        <f t="shared" si="3"/>
        <v>320</v>
      </c>
      <c r="I24" s="104">
        <f t="shared" si="1"/>
        <v>100</v>
      </c>
    </row>
    <row r="25" spans="1:9" s="75" customFormat="1" ht="20.25" customHeight="1" x14ac:dyDescent="0.25">
      <c r="A25" s="17" t="s">
        <v>495</v>
      </c>
      <c r="B25" s="14" t="s">
        <v>356</v>
      </c>
      <c r="C25" s="23" t="s">
        <v>134</v>
      </c>
      <c r="D25" s="23"/>
      <c r="E25" s="23"/>
      <c r="F25" s="4"/>
      <c r="G25" s="5">
        <f t="shared" si="3"/>
        <v>320</v>
      </c>
      <c r="H25" s="114">
        <f t="shared" si="3"/>
        <v>320</v>
      </c>
      <c r="I25" s="104">
        <f t="shared" si="1"/>
        <v>100</v>
      </c>
    </row>
    <row r="26" spans="1:9" s="75" customFormat="1" ht="19.7" customHeight="1" x14ac:dyDescent="0.25">
      <c r="A26" s="19" t="s">
        <v>141</v>
      </c>
      <c r="B26" s="14" t="s">
        <v>356</v>
      </c>
      <c r="C26" s="23" t="s">
        <v>134</v>
      </c>
      <c r="D26" s="23" t="s">
        <v>120</v>
      </c>
      <c r="E26" s="23"/>
      <c r="F26" s="4"/>
      <c r="G26" s="5">
        <f t="shared" si="3"/>
        <v>320</v>
      </c>
      <c r="H26" s="114">
        <f t="shared" si="3"/>
        <v>320</v>
      </c>
      <c r="I26" s="104">
        <f t="shared" si="1"/>
        <v>100</v>
      </c>
    </row>
    <row r="27" spans="1:9" s="75" customFormat="1" ht="33.75" customHeight="1" x14ac:dyDescent="0.25">
      <c r="A27" s="17" t="s">
        <v>137</v>
      </c>
      <c r="B27" s="14" t="s">
        <v>356</v>
      </c>
      <c r="C27" s="23" t="s">
        <v>134</v>
      </c>
      <c r="D27" s="23" t="s">
        <v>120</v>
      </c>
      <c r="E27" s="23" t="s">
        <v>138</v>
      </c>
      <c r="F27" s="4"/>
      <c r="G27" s="5">
        <f t="shared" si="3"/>
        <v>320</v>
      </c>
      <c r="H27" s="114">
        <f t="shared" si="3"/>
        <v>320</v>
      </c>
      <c r="I27" s="104">
        <f t="shared" si="1"/>
        <v>100</v>
      </c>
    </row>
    <row r="28" spans="1:9" s="75" customFormat="1" ht="31.9" customHeight="1" x14ac:dyDescent="0.25">
      <c r="A28" s="17" t="s">
        <v>172</v>
      </c>
      <c r="B28" s="14" t="s">
        <v>356</v>
      </c>
      <c r="C28" s="23" t="s">
        <v>134</v>
      </c>
      <c r="D28" s="23" t="s">
        <v>120</v>
      </c>
      <c r="E28" s="23" t="s">
        <v>173</v>
      </c>
      <c r="F28" s="4"/>
      <c r="G28" s="5">
        <f t="shared" si="3"/>
        <v>320</v>
      </c>
      <c r="H28" s="114">
        <f t="shared" si="3"/>
        <v>320</v>
      </c>
      <c r="I28" s="104">
        <f t="shared" si="1"/>
        <v>100</v>
      </c>
    </row>
    <row r="29" spans="1:9" s="75" customFormat="1" ht="55.7" customHeight="1" x14ac:dyDescent="0.25">
      <c r="A29" s="26" t="s">
        <v>241</v>
      </c>
      <c r="B29" s="14" t="s">
        <v>356</v>
      </c>
      <c r="C29" s="23" t="s">
        <v>134</v>
      </c>
      <c r="D29" s="23" t="s">
        <v>120</v>
      </c>
      <c r="E29" s="23" t="s">
        <v>173</v>
      </c>
      <c r="F29" s="4">
        <v>903</v>
      </c>
      <c r="G29" s="5">
        <f>'Пр.4 Ведом23'!G613</f>
        <v>320</v>
      </c>
      <c r="H29" s="114">
        <f>'Пр.4 Ведом23'!H613</f>
        <v>320</v>
      </c>
      <c r="I29" s="104">
        <f t="shared" si="1"/>
        <v>100</v>
      </c>
    </row>
    <row r="30" spans="1:9" s="75" customFormat="1" ht="61.15" customHeight="1" x14ac:dyDescent="0.25">
      <c r="A30" s="57" t="s">
        <v>464</v>
      </c>
      <c r="B30" s="14" t="s">
        <v>358</v>
      </c>
      <c r="C30" s="23"/>
      <c r="D30" s="23"/>
      <c r="E30" s="23"/>
      <c r="F30" s="4"/>
      <c r="G30" s="5">
        <f t="shared" ref="G30:H34" si="4">G31</f>
        <v>556.6</v>
      </c>
      <c r="H30" s="114">
        <f t="shared" si="4"/>
        <v>556.6</v>
      </c>
      <c r="I30" s="104">
        <f t="shared" si="1"/>
        <v>100</v>
      </c>
    </row>
    <row r="31" spans="1:9" ht="15.75" x14ac:dyDescent="0.25">
      <c r="A31" s="42" t="s">
        <v>133</v>
      </c>
      <c r="B31" s="14" t="s">
        <v>358</v>
      </c>
      <c r="C31" s="8" t="s">
        <v>134</v>
      </c>
      <c r="D31" s="8"/>
      <c r="E31" s="8"/>
      <c r="F31" s="8"/>
      <c r="G31" s="9">
        <f t="shared" si="4"/>
        <v>556.6</v>
      </c>
      <c r="H31" s="9">
        <f t="shared" si="4"/>
        <v>556.6</v>
      </c>
      <c r="I31" s="104">
        <f t="shared" si="1"/>
        <v>100</v>
      </c>
    </row>
    <row r="32" spans="1:9" ht="19.149999999999999" customHeight="1" x14ac:dyDescent="0.25">
      <c r="A32" s="19" t="s">
        <v>141</v>
      </c>
      <c r="B32" s="14" t="s">
        <v>358</v>
      </c>
      <c r="C32" s="23" t="s">
        <v>134</v>
      </c>
      <c r="D32" s="23" t="s">
        <v>120</v>
      </c>
      <c r="E32" s="23"/>
      <c r="F32" s="4"/>
      <c r="G32" s="5">
        <f t="shared" si="4"/>
        <v>556.6</v>
      </c>
      <c r="H32" s="114">
        <f t="shared" si="4"/>
        <v>556.6</v>
      </c>
      <c r="I32" s="104">
        <f t="shared" si="1"/>
        <v>100</v>
      </c>
    </row>
    <row r="33" spans="1:9" ht="31.5" x14ac:dyDescent="0.25">
      <c r="A33" s="19" t="s">
        <v>137</v>
      </c>
      <c r="B33" s="14" t="s">
        <v>358</v>
      </c>
      <c r="C33" s="23" t="s">
        <v>134</v>
      </c>
      <c r="D33" s="23" t="s">
        <v>120</v>
      </c>
      <c r="E33" s="23" t="s">
        <v>138</v>
      </c>
      <c r="F33" s="4"/>
      <c r="G33" s="5">
        <f t="shared" si="4"/>
        <v>556.6</v>
      </c>
      <c r="H33" s="114">
        <f t="shared" si="4"/>
        <v>556.6</v>
      </c>
      <c r="I33" s="104">
        <f t="shared" si="1"/>
        <v>100</v>
      </c>
    </row>
    <row r="34" spans="1:9" ht="31.5" x14ac:dyDescent="0.25">
      <c r="A34" s="19" t="s">
        <v>172</v>
      </c>
      <c r="B34" s="14" t="s">
        <v>358</v>
      </c>
      <c r="C34" s="23" t="s">
        <v>134</v>
      </c>
      <c r="D34" s="23" t="s">
        <v>120</v>
      </c>
      <c r="E34" s="43" t="s">
        <v>173</v>
      </c>
      <c r="F34" s="4"/>
      <c r="G34" s="5">
        <f t="shared" si="4"/>
        <v>556.6</v>
      </c>
      <c r="H34" s="114">
        <f t="shared" si="4"/>
        <v>556.6</v>
      </c>
      <c r="I34" s="104">
        <f t="shared" si="1"/>
        <v>100</v>
      </c>
    </row>
    <row r="35" spans="1:9" s="75" customFormat="1" ht="46.9" customHeight="1" x14ac:dyDescent="0.25">
      <c r="A35" s="26" t="s">
        <v>241</v>
      </c>
      <c r="B35" s="14" t="s">
        <v>358</v>
      </c>
      <c r="C35" s="23" t="s">
        <v>134</v>
      </c>
      <c r="D35" s="23" t="s">
        <v>120</v>
      </c>
      <c r="E35" s="43" t="s">
        <v>173</v>
      </c>
      <c r="F35" s="4">
        <v>903</v>
      </c>
      <c r="G35" s="5">
        <f>'Пр.4 Ведом23'!G603</f>
        <v>556.6</v>
      </c>
      <c r="H35" s="114">
        <f>'Пр.4 Ведом23'!H603</f>
        <v>556.6</v>
      </c>
      <c r="I35" s="104">
        <f t="shared" si="1"/>
        <v>100</v>
      </c>
    </row>
    <row r="36" spans="1:9" ht="31.5" x14ac:dyDescent="0.25">
      <c r="A36" s="17" t="s">
        <v>427</v>
      </c>
      <c r="B36" s="14" t="s">
        <v>359</v>
      </c>
      <c r="C36" s="23"/>
      <c r="D36" s="23"/>
      <c r="E36" s="23"/>
      <c r="F36" s="4"/>
      <c r="G36" s="5">
        <f t="shared" ref="G36:H40" si="5">G37</f>
        <v>155</v>
      </c>
      <c r="H36" s="114">
        <f t="shared" si="5"/>
        <v>155</v>
      </c>
      <c r="I36" s="104">
        <f t="shared" si="1"/>
        <v>100</v>
      </c>
    </row>
    <row r="37" spans="1:9" s="75" customFormat="1" ht="15.75" x14ac:dyDescent="0.25">
      <c r="A37" s="42" t="s">
        <v>133</v>
      </c>
      <c r="B37" s="14" t="s">
        <v>359</v>
      </c>
      <c r="C37" s="23" t="s">
        <v>134</v>
      </c>
      <c r="D37" s="23"/>
      <c r="E37" s="23"/>
      <c r="F37" s="4"/>
      <c r="G37" s="5">
        <f t="shared" si="5"/>
        <v>155</v>
      </c>
      <c r="H37" s="114">
        <f t="shared" si="5"/>
        <v>155</v>
      </c>
      <c r="I37" s="104">
        <f t="shared" si="1"/>
        <v>100</v>
      </c>
    </row>
    <row r="38" spans="1:9" ht="17.649999999999999" customHeight="1" x14ac:dyDescent="0.25">
      <c r="A38" s="19" t="s">
        <v>141</v>
      </c>
      <c r="B38" s="14" t="s">
        <v>359</v>
      </c>
      <c r="C38" s="23" t="s">
        <v>134</v>
      </c>
      <c r="D38" s="23" t="s">
        <v>120</v>
      </c>
      <c r="E38" s="23"/>
      <c r="F38" s="4"/>
      <c r="G38" s="5">
        <f t="shared" si="5"/>
        <v>155</v>
      </c>
      <c r="H38" s="114">
        <f t="shared" si="5"/>
        <v>155</v>
      </c>
      <c r="I38" s="104">
        <f t="shared" si="1"/>
        <v>100</v>
      </c>
    </row>
    <row r="39" spans="1:9" ht="31.5" x14ac:dyDescent="0.25">
      <c r="A39" s="19" t="s">
        <v>137</v>
      </c>
      <c r="B39" s="14" t="s">
        <v>359</v>
      </c>
      <c r="C39" s="23" t="s">
        <v>134</v>
      </c>
      <c r="D39" s="23" t="s">
        <v>120</v>
      </c>
      <c r="E39" s="23" t="s">
        <v>138</v>
      </c>
      <c r="F39" s="4"/>
      <c r="G39" s="5">
        <f t="shared" si="5"/>
        <v>155</v>
      </c>
      <c r="H39" s="114">
        <f t="shared" si="5"/>
        <v>155</v>
      </c>
      <c r="I39" s="104">
        <f t="shared" si="1"/>
        <v>100</v>
      </c>
    </row>
    <row r="40" spans="1:9" ht="31.5" x14ac:dyDescent="0.25">
      <c r="A40" s="19" t="s">
        <v>172</v>
      </c>
      <c r="B40" s="14" t="s">
        <v>359</v>
      </c>
      <c r="C40" s="23" t="s">
        <v>134</v>
      </c>
      <c r="D40" s="23" t="s">
        <v>120</v>
      </c>
      <c r="E40" s="23" t="s">
        <v>173</v>
      </c>
      <c r="F40" s="4"/>
      <c r="G40" s="5">
        <f t="shared" si="5"/>
        <v>155</v>
      </c>
      <c r="H40" s="114">
        <f t="shared" si="5"/>
        <v>155</v>
      </c>
      <c r="I40" s="104">
        <f t="shared" si="1"/>
        <v>100</v>
      </c>
    </row>
    <row r="41" spans="1:9" s="75" customFormat="1" ht="57.2" customHeight="1" x14ac:dyDescent="0.25">
      <c r="A41" s="26" t="s">
        <v>241</v>
      </c>
      <c r="B41" s="14" t="s">
        <v>359</v>
      </c>
      <c r="C41" s="23" t="s">
        <v>134</v>
      </c>
      <c r="D41" s="23" t="s">
        <v>120</v>
      </c>
      <c r="E41" s="23" t="s">
        <v>173</v>
      </c>
      <c r="F41" s="4">
        <v>903</v>
      </c>
      <c r="G41" s="5">
        <f>'Пр.4 Ведом23'!G609</f>
        <v>155</v>
      </c>
      <c r="H41" s="114">
        <f>'Пр.4 Ведом23'!H609</f>
        <v>155</v>
      </c>
      <c r="I41" s="104">
        <f t="shared" si="1"/>
        <v>100</v>
      </c>
    </row>
    <row r="42" spans="1:9" s="75" customFormat="1" ht="63" hidden="1" x14ac:dyDescent="0.25">
      <c r="A42" s="17" t="s">
        <v>465</v>
      </c>
      <c r="B42" s="14" t="s">
        <v>360</v>
      </c>
      <c r="C42" s="23"/>
      <c r="D42" s="23"/>
      <c r="E42" s="23"/>
      <c r="F42" s="4"/>
      <c r="G42" s="5">
        <f t="shared" ref="G42:H45" si="6">G43</f>
        <v>0</v>
      </c>
      <c r="H42" s="114">
        <f t="shared" si="6"/>
        <v>0</v>
      </c>
      <c r="I42" s="104" t="e">
        <f t="shared" si="1"/>
        <v>#DIV/0!</v>
      </c>
    </row>
    <row r="43" spans="1:9" s="75" customFormat="1" ht="15.75" hidden="1" x14ac:dyDescent="0.25">
      <c r="A43" s="42" t="s">
        <v>133</v>
      </c>
      <c r="B43" s="14" t="s">
        <v>360</v>
      </c>
      <c r="C43" s="23" t="s">
        <v>134</v>
      </c>
      <c r="D43" s="23"/>
      <c r="E43" s="23"/>
      <c r="F43" s="4"/>
      <c r="G43" s="5">
        <f t="shared" si="6"/>
        <v>0</v>
      </c>
      <c r="H43" s="114">
        <f t="shared" si="6"/>
        <v>0</v>
      </c>
      <c r="I43" s="104" t="e">
        <f t="shared" si="1"/>
        <v>#DIV/0!</v>
      </c>
    </row>
    <row r="44" spans="1:9" ht="15.75" hidden="1" x14ac:dyDescent="0.25">
      <c r="A44" s="19" t="s">
        <v>141</v>
      </c>
      <c r="B44" s="14" t="s">
        <v>360</v>
      </c>
      <c r="C44" s="23" t="s">
        <v>134</v>
      </c>
      <c r="D44" s="23" t="s">
        <v>120</v>
      </c>
      <c r="E44" s="23"/>
      <c r="F44" s="4">
        <v>903</v>
      </c>
      <c r="G44" s="5">
        <f t="shared" si="6"/>
        <v>0</v>
      </c>
      <c r="H44" s="114">
        <f t="shared" si="6"/>
        <v>0</v>
      </c>
      <c r="I44" s="104" t="e">
        <f t="shared" si="1"/>
        <v>#DIV/0!</v>
      </c>
    </row>
    <row r="45" spans="1:9" ht="31.5" hidden="1" x14ac:dyDescent="0.25">
      <c r="A45" s="19" t="s">
        <v>137</v>
      </c>
      <c r="B45" s="14" t="s">
        <v>360</v>
      </c>
      <c r="C45" s="23" t="s">
        <v>134</v>
      </c>
      <c r="D45" s="23" t="s">
        <v>120</v>
      </c>
      <c r="E45" s="23" t="s">
        <v>138</v>
      </c>
      <c r="F45" s="4">
        <v>903</v>
      </c>
      <c r="G45" s="5">
        <f t="shared" si="6"/>
        <v>0</v>
      </c>
      <c r="H45" s="114">
        <f t="shared" si="6"/>
        <v>0</v>
      </c>
      <c r="I45" s="104" t="e">
        <f t="shared" si="1"/>
        <v>#DIV/0!</v>
      </c>
    </row>
    <row r="46" spans="1:9" ht="31.5" hidden="1" x14ac:dyDescent="0.25">
      <c r="A46" s="19" t="s">
        <v>172</v>
      </c>
      <c r="B46" s="14" t="s">
        <v>360</v>
      </c>
      <c r="C46" s="23" t="s">
        <v>134</v>
      </c>
      <c r="D46" s="23" t="s">
        <v>120</v>
      </c>
      <c r="E46" s="23" t="s">
        <v>173</v>
      </c>
      <c r="F46" s="4">
        <v>903</v>
      </c>
      <c r="G46" s="5"/>
      <c r="H46" s="114"/>
      <c r="I46" s="104" t="e">
        <f t="shared" si="1"/>
        <v>#DIV/0!</v>
      </c>
    </row>
    <row r="47" spans="1:9" s="75" customFormat="1" ht="47.25" hidden="1" x14ac:dyDescent="0.25">
      <c r="A47" s="26" t="s">
        <v>241</v>
      </c>
      <c r="B47" s="14" t="s">
        <v>360</v>
      </c>
      <c r="C47" s="23" t="s">
        <v>134</v>
      </c>
      <c r="D47" s="23" t="s">
        <v>120</v>
      </c>
      <c r="E47" s="23" t="s">
        <v>173</v>
      </c>
      <c r="F47" s="4">
        <v>903</v>
      </c>
      <c r="G47" s="5"/>
      <c r="H47" s="114"/>
      <c r="I47" s="104" t="e">
        <f t="shared" si="1"/>
        <v>#DIV/0!</v>
      </c>
    </row>
    <row r="48" spans="1:9" ht="15.75" x14ac:dyDescent="0.25">
      <c r="A48" s="24" t="s">
        <v>898</v>
      </c>
      <c r="B48" s="88"/>
      <c r="C48" s="88"/>
      <c r="D48" s="88"/>
      <c r="E48" s="88"/>
      <c r="F48" s="24"/>
      <c r="G48" s="31">
        <f>G18+G24+G30+G36+G42+G12</f>
        <v>14558.447899999999</v>
      </c>
      <c r="H48" s="31">
        <f>H18+H24+H30+H36+H42+H12</f>
        <v>14558.447900000001</v>
      </c>
      <c r="I48" s="31">
        <f t="shared" si="1"/>
        <v>100.00000000000003</v>
      </c>
    </row>
  </sheetData>
  <mergeCells count="17">
    <mergeCell ref="I10:I11"/>
    <mergeCell ref="F10:F11"/>
    <mergeCell ref="A10:A11"/>
    <mergeCell ref="B10:B11"/>
    <mergeCell ref="C10:C11"/>
    <mergeCell ref="D10:D11"/>
    <mergeCell ref="E10:E11"/>
    <mergeCell ref="G10:G11"/>
    <mergeCell ref="H10:H11"/>
    <mergeCell ref="A1:C2"/>
    <mergeCell ref="F2:G2"/>
    <mergeCell ref="F1:G1"/>
    <mergeCell ref="F3:G3"/>
    <mergeCell ref="A6:I7"/>
    <mergeCell ref="H3:I3"/>
    <mergeCell ref="H2:I2"/>
    <mergeCell ref="H1:I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B1" zoomScale="93" zoomScaleNormal="100" zoomScaleSheetLayoutView="93" workbookViewId="0">
      <selection activeCell="D4" sqref="D4"/>
    </sheetView>
  </sheetViews>
  <sheetFormatPr defaultRowHeight="15" x14ac:dyDescent="0.25"/>
  <cols>
    <col min="1" max="1" width="34" customWidth="1"/>
    <col min="2" max="2" width="51.7109375" customWidth="1"/>
    <col min="3" max="3" width="15.28515625" customWidth="1"/>
    <col min="4" max="4" width="15" style="131" customWidth="1"/>
    <col min="5" max="5" width="13.5703125" style="131" hidden="1" customWidth="1"/>
  </cols>
  <sheetData>
    <row r="1" spans="1:6" ht="15.75" x14ac:dyDescent="0.25">
      <c r="A1" s="11"/>
      <c r="C1" s="631" t="s">
        <v>1163</v>
      </c>
      <c r="D1" s="631"/>
      <c r="E1" s="632"/>
    </row>
    <row r="2" spans="1:6" ht="15.75" x14ac:dyDescent="0.25">
      <c r="A2" s="11"/>
      <c r="B2" s="11"/>
      <c r="C2" s="631" t="s">
        <v>1049</v>
      </c>
      <c r="D2" s="631"/>
      <c r="E2" s="633"/>
    </row>
    <row r="3" spans="1:6" ht="15.75" x14ac:dyDescent="0.25">
      <c r="A3" s="11"/>
      <c r="B3" s="11"/>
      <c r="C3" s="610" t="s">
        <v>1162</v>
      </c>
      <c r="D3" s="610"/>
      <c r="E3" s="610"/>
    </row>
    <row r="4" spans="1:6" s="75" customFormat="1" ht="15.75" x14ac:dyDescent="0.25">
      <c r="A4" s="11"/>
      <c r="B4" s="11"/>
      <c r="C4" s="109"/>
      <c r="D4" s="109"/>
      <c r="E4" s="109"/>
    </row>
    <row r="5" spans="1:6" ht="33" customHeight="1" x14ac:dyDescent="0.25">
      <c r="A5" s="617" t="s">
        <v>1136</v>
      </c>
      <c r="B5" s="617"/>
      <c r="C5" s="617"/>
      <c r="D5" s="617"/>
      <c r="E5" s="617"/>
    </row>
    <row r="6" spans="1:6" ht="15.75" x14ac:dyDescent="0.25">
      <c r="A6" s="44"/>
      <c r="B6" s="44"/>
    </row>
    <row r="7" spans="1:6" ht="15.75" x14ac:dyDescent="0.25">
      <c r="A7" s="11"/>
      <c r="B7" s="11"/>
      <c r="C7" s="45"/>
      <c r="D7" s="45"/>
      <c r="E7" s="45"/>
    </row>
    <row r="8" spans="1:6" ht="45" customHeight="1" x14ac:dyDescent="0.25">
      <c r="A8" s="41" t="s">
        <v>242</v>
      </c>
      <c r="B8" s="41" t="s">
        <v>243</v>
      </c>
      <c r="C8" s="67" t="s">
        <v>1127</v>
      </c>
      <c r="D8" s="67" t="s">
        <v>1128</v>
      </c>
      <c r="E8" s="67" t="s">
        <v>1160</v>
      </c>
    </row>
    <row r="9" spans="1:6" ht="33" x14ac:dyDescent="0.25">
      <c r="A9" s="46" t="s">
        <v>244</v>
      </c>
      <c r="B9" s="47" t="s">
        <v>245</v>
      </c>
      <c r="C9" s="105">
        <f>C10-C12</f>
        <v>29571.073649999918</v>
      </c>
      <c r="D9" s="105">
        <f t="shared" ref="D9" si="0">D10-D12</f>
        <v>-5537.9170900000026</v>
      </c>
      <c r="E9" s="105"/>
    </row>
    <row r="10" spans="1:6" ht="33" customHeight="1" x14ac:dyDescent="0.25">
      <c r="A10" s="48" t="s">
        <v>246</v>
      </c>
      <c r="B10" s="49" t="s">
        <v>247</v>
      </c>
      <c r="C10" s="106">
        <f>C11</f>
        <v>51076.73</v>
      </c>
      <c r="D10" s="106">
        <f t="shared" ref="D10" si="1">D11</f>
        <v>51076.7</v>
      </c>
      <c r="E10" s="513"/>
    </row>
    <row r="11" spans="1:6" ht="30" customHeight="1" x14ac:dyDescent="0.25">
      <c r="A11" s="50" t="s">
        <v>1005</v>
      </c>
      <c r="B11" s="51" t="s">
        <v>1006</v>
      </c>
      <c r="C11" s="107">
        <v>51076.73</v>
      </c>
      <c r="D11" s="107">
        <v>51076.7</v>
      </c>
      <c r="E11" s="513"/>
    </row>
    <row r="12" spans="1:6" ht="32.25" customHeight="1" x14ac:dyDescent="0.25">
      <c r="A12" s="48" t="s">
        <v>248</v>
      </c>
      <c r="B12" s="49" t="s">
        <v>249</v>
      </c>
      <c r="C12" s="105">
        <f>C13</f>
        <v>21505.656350000085</v>
      </c>
      <c r="D12" s="105">
        <f t="shared" ref="D12" si="2">D13</f>
        <v>56614.61709</v>
      </c>
      <c r="E12" s="105"/>
    </row>
    <row r="13" spans="1:6" ht="32.65" customHeight="1" x14ac:dyDescent="0.25">
      <c r="A13" s="50" t="s">
        <v>1008</v>
      </c>
      <c r="B13" s="51" t="s">
        <v>1007</v>
      </c>
      <c r="C13" s="107">
        <f>C11+C19</f>
        <v>21505.656350000085</v>
      </c>
      <c r="D13" s="107">
        <f t="shared" ref="D13" si="3">D11+D19</f>
        <v>56614.61709</v>
      </c>
      <c r="E13" s="513"/>
      <c r="F13" s="332"/>
    </row>
    <row r="14" spans="1:6" ht="16.5" x14ac:dyDescent="0.25">
      <c r="A14" s="48" t="s">
        <v>240</v>
      </c>
      <c r="B14" s="51"/>
      <c r="C14" s="108">
        <f>C11-C13</f>
        <v>29571.073649999918</v>
      </c>
      <c r="D14" s="108">
        <f t="shared" ref="D14" si="4">D11-D13</f>
        <v>-5537.9170900000026</v>
      </c>
      <c r="E14" s="105">
        <f>C14-D14</f>
        <v>35108.990739999921</v>
      </c>
    </row>
    <row r="16" spans="1:6" x14ac:dyDescent="0.25">
      <c r="A16" s="618" t="s">
        <v>1013</v>
      </c>
      <c r="B16" s="618"/>
      <c r="C16" s="618"/>
      <c r="D16" s="618"/>
      <c r="E16" s="618"/>
    </row>
    <row r="17" spans="2:5" hidden="1" x14ac:dyDescent="0.25">
      <c r="B17" t="s">
        <v>250</v>
      </c>
      <c r="C17" s="86">
        <f>пр.1дох.23!C171</f>
        <v>1000273.15249</v>
      </c>
      <c r="D17" s="86">
        <f>пр.1дох.23!D171</f>
        <v>1025233.6671500001</v>
      </c>
      <c r="E17" s="86">
        <f>пр.1дох.23!E171</f>
        <v>102.49536984951216</v>
      </c>
    </row>
    <row r="18" spans="2:5" hidden="1" x14ac:dyDescent="0.25">
      <c r="B18" t="s">
        <v>251</v>
      </c>
      <c r="C18" s="86">
        <f>'Пр.4 Ведом23'!G1420</f>
        <v>1029844.2261399999</v>
      </c>
      <c r="D18" s="86">
        <f>'Пр.4 Ведом23'!H1420</f>
        <v>1019695.7500600001</v>
      </c>
      <c r="E18" s="86">
        <f>'Пр.4 Ведом23'!I1420</f>
        <v>99.014562025750465</v>
      </c>
    </row>
    <row r="19" spans="2:5" hidden="1" x14ac:dyDescent="0.25">
      <c r="B19" t="s">
        <v>252</v>
      </c>
      <c r="C19" s="86">
        <f>C17-C18</f>
        <v>-29571.073649999918</v>
      </c>
      <c r="D19" s="86">
        <f>D17-D18</f>
        <v>5537.9170900000026</v>
      </c>
      <c r="E19" s="86">
        <f t="shared" ref="E19" si="5">E17-E18</f>
        <v>3.480807823761694</v>
      </c>
    </row>
    <row r="20" spans="2:5" hidden="1" x14ac:dyDescent="0.25">
      <c r="C20" s="86"/>
      <c r="D20" s="86">
        <v>19867.14</v>
      </c>
      <c r="E20" s="86">
        <v>20861.59</v>
      </c>
    </row>
    <row r="21" spans="2:5" hidden="1" x14ac:dyDescent="0.25">
      <c r="C21" s="86">
        <v>51076.73343</v>
      </c>
      <c r="D21" s="86"/>
      <c r="E21" s="86"/>
    </row>
    <row r="22" spans="2:5" hidden="1" x14ac:dyDescent="0.25">
      <c r="C22" s="86"/>
      <c r="D22" s="86"/>
      <c r="E22" s="86"/>
    </row>
    <row r="23" spans="2:5" x14ac:dyDescent="0.25">
      <c r="C23" s="15"/>
      <c r="D23" s="15"/>
      <c r="E23" s="15"/>
    </row>
  </sheetData>
  <mergeCells count="5">
    <mergeCell ref="A5:E5"/>
    <mergeCell ref="A16:E16"/>
    <mergeCell ref="C3:E3"/>
    <mergeCell ref="C2:D2"/>
    <mergeCell ref="C1:D1"/>
  </mergeCells>
  <pageMargins left="0.25" right="0.25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="70" zoomScaleNormal="75" zoomScaleSheetLayoutView="70" workbookViewId="0">
      <pane xSplit="4" topLeftCell="E1" activePane="topRight" state="frozen"/>
      <selection pane="topRight" activeCell="F13" sqref="F13"/>
    </sheetView>
  </sheetViews>
  <sheetFormatPr defaultRowHeight="15" x14ac:dyDescent="0.25"/>
  <cols>
    <col min="1" max="1" width="8.85546875" style="131"/>
    <col min="2" max="2" width="6.7109375" style="59" bestFit="1" customWidth="1"/>
    <col min="3" max="3" width="19" style="194" customWidth="1"/>
    <col min="4" max="4" width="45" style="123" customWidth="1"/>
    <col min="5" max="5" width="16.28515625" style="205" customWidth="1"/>
    <col min="6" max="6" width="21.85546875" style="128" customWidth="1"/>
    <col min="7" max="7" width="16.140625" style="128" customWidth="1"/>
    <col min="8" max="8" width="22.140625" style="128" customWidth="1"/>
    <col min="9" max="9" width="11.85546875" style="123" customWidth="1"/>
    <col min="10" max="10" width="17.7109375" style="128" customWidth="1"/>
    <col min="11" max="11" width="15.5703125" style="165" customWidth="1"/>
    <col min="12" max="12" width="16.140625" style="165" customWidth="1"/>
    <col min="13" max="13" width="14" style="165" customWidth="1"/>
    <col min="14" max="14" width="13.28515625" style="165" customWidth="1"/>
    <col min="15" max="15" width="12" style="122" customWidth="1"/>
    <col min="16" max="16" width="14" style="122" customWidth="1"/>
    <col min="17" max="17" width="16.7109375" style="165" customWidth="1"/>
    <col min="18" max="18" width="16.5703125" style="165" customWidth="1"/>
    <col min="19" max="19" width="16.42578125" style="165" customWidth="1"/>
    <col min="20" max="20" width="12.7109375" style="86" customWidth="1"/>
    <col min="21" max="21" width="9" style="86" bestFit="1" customWidth="1"/>
    <col min="22" max="22" width="16.42578125" style="86" customWidth="1"/>
  </cols>
  <sheetData>
    <row r="1" spans="1:22" s="126" customFormat="1" ht="15.75" x14ac:dyDescent="0.25">
      <c r="B1" s="125"/>
      <c r="C1" s="194"/>
      <c r="D1" s="123"/>
      <c r="E1" s="205"/>
      <c r="F1" s="128"/>
      <c r="G1" s="128"/>
      <c r="H1" s="128"/>
      <c r="I1" s="123"/>
      <c r="J1" s="127"/>
      <c r="K1" s="127"/>
      <c r="L1" s="127"/>
      <c r="M1" s="127"/>
      <c r="N1" s="127"/>
      <c r="O1" s="124"/>
      <c r="P1" s="124"/>
      <c r="Q1" s="127"/>
      <c r="R1" s="127"/>
      <c r="S1" s="127"/>
      <c r="T1" s="164"/>
      <c r="U1" s="164"/>
      <c r="V1" s="164"/>
    </row>
    <row r="2" spans="1:22" ht="42" customHeight="1" x14ac:dyDescent="0.25">
      <c r="A2" s="204"/>
      <c r="B2" s="620" t="s">
        <v>745</v>
      </c>
      <c r="C2" s="626" t="s">
        <v>78</v>
      </c>
      <c r="D2" s="624"/>
      <c r="E2" s="621">
        <v>2023</v>
      </c>
      <c r="F2" s="622"/>
      <c r="G2" s="622"/>
      <c r="H2" s="622"/>
      <c r="I2" s="622"/>
      <c r="J2" s="623"/>
      <c r="K2" s="624">
        <v>2024</v>
      </c>
      <c r="L2" s="624"/>
      <c r="M2" s="624"/>
      <c r="N2" s="624"/>
      <c r="O2" s="624"/>
      <c r="P2" s="624"/>
      <c r="Q2" s="625">
        <v>2025</v>
      </c>
      <c r="R2" s="625"/>
      <c r="S2" s="625"/>
      <c r="T2" s="625"/>
      <c r="U2" s="625"/>
      <c r="V2" s="625"/>
    </row>
    <row r="3" spans="1:22" s="112" customFormat="1" ht="28.15" customHeight="1" x14ac:dyDescent="0.25">
      <c r="A3" s="204"/>
      <c r="B3" s="620"/>
      <c r="C3" s="626"/>
      <c r="D3" s="624"/>
      <c r="E3" s="206" t="s">
        <v>743</v>
      </c>
      <c r="F3" s="149" t="s">
        <v>744</v>
      </c>
      <c r="G3" s="177" t="s">
        <v>746</v>
      </c>
      <c r="H3" s="149" t="s">
        <v>233</v>
      </c>
      <c r="I3" s="142" t="s">
        <v>748</v>
      </c>
      <c r="J3" s="143" t="s">
        <v>747</v>
      </c>
      <c r="K3" s="149" t="s">
        <v>743</v>
      </c>
      <c r="L3" s="149" t="s">
        <v>744</v>
      </c>
      <c r="M3" s="149" t="s">
        <v>746</v>
      </c>
      <c r="N3" s="149" t="s">
        <v>233</v>
      </c>
      <c r="O3" s="144" t="s">
        <v>748</v>
      </c>
      <c r="P3" s="141" t="s">
        <v>747</v>
      </c>
      <c r="Q3" s="149" t="s">
        <v>743</v>
      </c>
      <c r="R3" s="149" t="s">
        <v>744</v>
      </c>
      <c r="S3" s="149" t="s">
        <v>746</v>
      </c>
      <c r="T3" s="149" t="s">
        <v>233</v>
      </c>
      <c r="U3" s="141" t="s">
        <v>748</v>
      </c>
      <c r="V3" s="141" t="s">
        <v>747</v>
      </c>
    </row>
    <row r="4" spans="1:22" s="131" customFormat="1" ht="28.15" customHeight="1" x14ac:dyDescent="0.25">
      <c r="A4" s="204"/>
      <c r="B4" s="193"/>
      <c r="C4" s="201"/>
      <c r="D4" s="202"/>
      <c r="E4" s="207"/>
      <c r="F4" s="203"/>
      <c r="G4" s="203"/>
      <c r="H4" s="203"/>
      <c r="I4" s="142"/>
      <c r="J4" s="143"/>
      <c r="K4" s="203"/>
      <c r="L4" s="203"/>
      <c r="M4" s="203"/>
      <c r="N4" s="203"/>
      <c r="O4" s="144"/>
      <c r="P4" s="141"/>
      <c r="Q4" s="203"/>
      <c r="R4" s="203"/>
      <c r="S4" s="203"/>
      <c r="T4" s="203"/>
      <c r="U4" s="141"/>
      <c r="V4" s="141"/>
    </row>
    <row r="5" spans="1:22" ht="78.75" x14ac:dyDescent="0.25">
      <c r="A5" s="619" t="s">
        <v>841</v>
      </c>
      <c r="B5" s="155" t="s">
        <v>652</v>
      </c>
      <c r="C5" s="195" t="s">
        <v>1015</v>
      </c>
      <c r="D5" s="166" t="s">
        <v>742</v>
      </c>
      <c r="E5" s="208">
        <f>F5+G5+H5</f>
        <v>2664000</v>
      </c>
      <c r="F5" s="158">
        <v>50448.26</v>
      </c>
      <c r="G5" s="158">
        <v>2469551.7400000002</v>
      </c>
      <c r="H5" s="158">
        <v>144000</v>
      </c>
      <c r="I5" s="140">
        <v>5.4</v>
      </c>
      <c r="J5" s="141">
        <f>(F5+G5)*100/95.4</f>
        <v>2641509.4339622641</v>
      </c>
      <c r="K5" s="158">
        <f>L5+M5+N5</f>
        <v>0</v>
      </c>
      <c r="L5" s="158"/>
      <c r="M5" s="158"/>
      <c r="N5" s="158">
        <f>P5-L5-M5</f>
        <v>0</v>
      </c>
      <c r="O5" s="140">
        <v>7</v>
      </c>
      <c r="P5" s="141">
        <f t="shared" ref="P5:P7" si="0">(L5+M5)*100/93</f>
        <v>0</v>
      </c>
      <c r="Q5" s="158">
        <f>R5+S5+T5</f>
        <v>0</v>
      </c>
      <c r="R5" s="158"/>
      <c r="S5" s="158"/>
      <c r="T5" s="158">
        <f>V5-R5-S5</f>
        <v>0</v>
      </c>
      <c r="U5" s="140">
        <v>7</v>
      </c>
      <c r="V5" s="141">
        <f t="shared" ref="V5" si="1">(R5+S5)*100/93</f>
        <v>0</v>
      </c>
    </row>
    <row r="6" spans="1:22" s="129" customFormat="1" ht="31.5" x14ac:dyDescent="0.25">
      <c r="A6" s="619"/>
      <c r="B6" s="155" t="s">
        <v>614</v>
      </c>
      <c r="C6" s="156" t="s">
        <v>777</v>
      </c>
      <c r="D6" s="169" t="s">
        <v>552</v>
      </c>
      <c r="E6" s="208">
        <f t="shared" ref="E6" si="2">F6+G6+H6</f>
        <v>120869.99505376344</v>
      </c>
      <c r="F6" s="159">
        <v>12400</v>
      </c>
      <c r="G6" s="159">
        <v>100000</v>
      </c>
      <c r="H6" s="159">
        <f>J6-F6-G6</f>
        <v>8469.9950537634431</v>
      </c>
      <c r="I6" s="140">
        <v>7</v>
      </c>
      <c r="J6" s="246">
        <f>(F6+G6)*100/93+9.78</f>
        <v>120869.99505376344</v>
      </c>
      <c r="K6" s="158">
        <f>L6+M6+N6</f>
        <v>0</v>
      </c>
      <c r="L6" s="159"/>
      <c r="M6" s="159"/>
      <c r="N6" s="159">
        <f t="shared" ref="N6:N7" si="3">P6-L6-M6</f>
        <v>0</v>
      </c>
      <c r="O6" s="140">
        <v>7</v>
      </c>
      <c r="P6" s="141">
        <f t="shared" si="0"/>
        <v>0</v>
      </c>
      <c r="Q6" s="158">
        <f t="shared" ref="Q6:Q7" si="4">R6+S6+T6</f>
        <v>0</v>
      </c>
      <c r="R6" s="159"/>
      <c r="S6" s="159"/>
      <c r="T6" s="159">
        <f t="shared" ref="T6:T7" si="5">V6-R6-S6</f>
        <v>0</v>
      </c>
      <c r="U6" s="140">
        <v>7</v>
      </c>
      <c r="V6" s="141">
        <f t="shared" ref="V6:V7" si="6">(R6+S6)*100/93</f>
        <v>0</v>
      </c>
    </row>
    <row r="7" spans="1:22" s="129" customFormat="1" ht="31.5" hidden="1" x14ac:dyDescent="0.25">
      <c r="A7" s="619"/>
      <c r="B7" s="155" t="s">
        <v>614</v>
      </c>
      <c r="C7" s="156" t="s">
        <v>760</v>
      </c>
      <c r="D7" s="170" t="s">
        <v>759</v>
      </c>
      <c r="E7" s="208">
        <f t="shared" ref="E7" si="7">F7+G7+H7</f>
        <v>0</v>
      </c>
      <c r="F7" s="159"/>
      <c r="G7" s="159"/>
      <c r="H7" s="159">
        <f>J7-F7-G7</f>
        <v>0</v>
      </c>
      <c r="I7" s="140">
        <v>7</v>
      </c>
      <c r="J7" s="141">
        <f>(F7+G7)*100/93</f>
        <v>0</v>
      </c>
      <c r="K7" s="158">
        <f t="shared" ref="K7" si="8">L7+M7+N7</f>
        <v>0</v>
      </c>
      <c r="L7" s="159"/>
      <c r="M7" s="159"/>
      <c r="N7" s="159">
        <f t="shared" si="3"/>
        <v>0</v>
      </c>
      <c r="O7" s="140">
        <v>7</v>
      </c>
      <c r="P7" s="141">
        <f t="shared" si="0"/>
        <v>0</v>
      </c>
      <c r="Q7" s="158">
        <f t="shared" si="4"/>
        <v>0</v>
      </c>
      <c r="R7" s="159"/>
      <c r="S7" s="159"/>
      <c r="T7" s="159">
        <f t="shared" si="5"/>
        <v>0</v>
      </c>
      <c r="U7" s="140">
        <v>7</v>
      </c>
      <c r="V7" s="141">
        <f t="shared" si="6"/>
        <v>0</v>
      </c>
    </row>
    <row r="8" spans="1:22" s="131" customFormat="1" ht="15.75" x14ac:dyDescent="0.25">
      <c r="A8" s="204"/>
      <c r="B8" s="135"/>
      <c r="C8" s="196"/>
      <c r="D8" s="136"/>
      <c r="E8" s="209"/>
      <c r="F8" s="150"/>
      <c r="G8" s="150"/>
      <c r="H8" s="150"/>
      <c r="I8" s="140"/>
      <c r="J8" s="141"/>
      <c r="K8" s="150"/>
      <c r="L8" s="150"/>
      <c r="M8" s="150"/>
      <c r="N8" s="150"/>
      <c r="O8" s="140"/>
      <c r="P8" s="141"/>
      <c r="Q8" s="150"/>
      <c r="R8" s="150"/>
      <c r="S8" s="150"/>
      <c r="T8" s="150"/>
      <c r="U8" s="141"/>
      <c r="V8" s="141"/>
    </row>
    <row r="9" spans="1:22" ht="75" x14ac:dyDescent="0.25">
      <c r="A9" s="204" t="s">
        <v>847</v>
      </c>
      <c r="B9" s="155" t="s">
        <v>615</v>
      </c>
      <c r="C9" s="156" t="s">
        <v>354</v>
      </c>
      <c r="D9" s="157" t="s">
        <v>297</v>
      </c>
      <c r="E9" s="208">
        <f t="shared" ref="E9:E34" si="9">F9+G9+H9</f>
        <v>314000</v>
      </c>
      <c r="F9" s="159">
        <v>132848.5</v>
      </c>
      <c r="G9" s="159">
        <v>149751.5</v>
      </c>
      <c r="H9" s="191">
        <v>31400</v>
      </c>
      <c r="I9" s="140" t="s">
        <v>848</v>
      </c>
      <c r="J9" s="141"/>
      <c r="K9" s="158">
        <f t="shared" ref="K9:K34" si="10">L9+M9+N9</f>
        <v>314000</v>
      </c>
      <c r="L9" s="159">
        <v>31130.5</v>
      </c>
      <c r="M9" s="159">
        <v>251469.5</v>
      </c>
      <c r="N9" s="191">
        <v>31400</v>
      </c>
      <c r="O9" s="140" t="s">
        <v>848</v>
      </c>
      <c r="P9" s="141"/>
      <c r="Q9" s="158">
        <f t="shared" ref="Q9:Q34" si="11">R9+S9+T9</f>
        <v>314000</v>
      </c>
      <c r="R9" s="159">
        <v>31130.5</v>
      </c>
      <c r="S9" s="159">
        <v>251469.5</v>
      </c>
      <c r="T9" s="159">
        <v>31400</v>
      </c>
      <c r="U9" s="140" t="s">
        <v>848</v>
      </c>
      <c r="V9" s="141"/>
    </row>
    <row r="10" spans="1:22" s="129" customFormat="1" ht="47.25" hidden="1" x14ac:dyDescent="0.25">
      <c r="A10" s="204"/>
      <c r="B10" s="155" t="s">
        <v>613</v>
      </c>
      <c r="C10" s="197" t="s">
        <v>758</v>
      </c>
      <c r="D10" s="161" t="s">
        <v>801</v>
      </c>
      <c r="E10" s="208">
        <f t="shared" si="9"/>
        <v>0</v>
      </c>
      <c r="F10" s="159"/>
      <c r="G10" s="159"/>
      <c r="H10" s="159">
        <f t="shared" ref="H10:H34" si="12">J10-F10-G10</f>
        <v>0</v>
      </c>
      <c r="I10" s="140">
        <v>7</v>
      </c>
      <c r="J10" s="141">
        <f t="shared" ref="J10:J34" si="13">(F10+G10)*100/93</f>
        <v>0</v>
      </c>
      <c r="K10" s="158">
        <f t="shared" si="10"/>
        <v>0</v>
      </c>
      <c r="L10" s="159"/>
      <c r="M10" s="159"/>
      <c r="N10" s="159">
        <f t="shared" ref="N10:N31" si="14">P10-L10-M10</f>
        <v>0</v>
      </c>
      <c r="O10" s="140">
        <v>7</v>
      </c>
      <c r="P10" s="141">
        <f t="shared" ref="P10:P34" si="15">(L10+M10)*100/93</f>
        <v>0</v>
      </c>
      <c r="Q10" s="158">
        <f t="shared" si="11"/>
        <v>0</v>
      </c>
      <c r="R10" s="159"/>
      <c r="S10" s="159"/>
      <c r="T10" s="159">
        <f t="shared" ref="T10:T34" si="16">V10-R10-S10</f>
        <v>0</v>
      </c>
      <c r="U10" s="140">
        <v>7</v>
      </c>
      <c r="V10" s="141">
        <f t="shared" ref="V10:V34" si="17">(R10+S10)*100/93</f>
        <v>0</v>
      </c>
    </row>
    <row r="11" spans="1:22" s="131" customFormat="1" ht="47.25" hidden="1" x14ac:dyDescent="0.25">
      <c r="A11" s="204"/>
      <c r="B11" s="155" t="s">
        <v>613</v>
      </c>
      <c r="C11" s="197" t="s">
        <v>758</v>
      </c>
      <c r="D11" s="161" t="s">
        <v>802</v>
      </c>
      <c r="E11" s="208">
        <f t="shared" si="9"/>
        <v>0</v>
      </c>
      <c r="F11" s="159"/>
      <c r="G11" s="159"/>
      <c r="H11" s="159">
        <f t="shared" si="12"/>
        <v>0</v>
      </c>
      <c r="I11" s="140">
        <v>7</v>
      </c>
      <c r="J11" s="141">
        <f t="shared" si="13"/>
        <v>0</v>
      </c>
      <c r="K11" s="158"/>
      <c r="L11" s="159"/>
      <c r="M11" s="159"/>
      <c r="N11" s="159"/>
      <c r="O11" s="140">
        <v>7</v>
      </c>
      <c r="P11" s="141">
        <f t="shared" si="15"/>
        <v>0</v>
      </c>
      <c r="Q11" s="158">
        <f t="shared" si="11"/>
        <v>0</v>
      </c>
      <c r="R11" s="159"/>
      <c r="S11" s="159"/>
      <c r="T11" s="159">
        <f t="shared" si="16"/>
        <v>0</v>
      </c>
      <c r="U11" s="140">
        <v>7</v>
      </c>
      <c r="V11" s="141">
        <f t="shared" si="17"/>
        <v>0</v>
      </c>
    </row>
    <row r="12" spans="1:22" s="129" customFormat="1" ht="47.25" hidden="1" x14ac:dyDescent="0.25">
      <c r="A12" s="204"/>
      <c r="B12" s="155" t="s">
        <v>613</v>
      </c>
      <c r="C12" s="162" t="s">
        <v>710</v>
      </c>
      <c r="D12" s="161" t="s">
        <v>700</v>
      </c>
      <c r="E12" s="208">
        <f t="shared" ref="E12:E17" si="18">F12+G12+H12</f>
        <v>0</v>
      </c>
      <c r="F12" s="159"/>
      <c r="G12" s="159"/>
      <c r="H12" s="159">
        <f t="shared" ref="H12:H17" si="19">J12-F12-G12</f>
        <v>0</v>
      </c>
      <c r="I12" s="140">
        <v>7</v>
      </c>
      <c r="J12" s="141">
        <f t="shared" ref="J12:J15" si="20">(F12+G12)*100/93</f>
        <v>0</v>
      </c>
      <c r="K12" s="158">
        <f>L12+M12+N12</f>
        <v>0</v>
      </c>
      <c r="L12" s="159"/>
      <c r="M12" s="159"/>
      <c r="N12" s="159">
        <f t="shared" ref="N12:N17" si="21">P12-L12-M12</f>
        <v>0</v>
      </c>
      <c r="O12" s="140">
        <v>7</v>
      </c>
      <c r="P12" s="141">
        <f t="shared" ref="P12:P17" si="22">(L12+M12)*100/93</f>
        <v>0</v>
      </c>
      <c r="Q12" s="158">
        <f t="shared" ref="Q12:Q17" si="23">R12+S12+T12</f>
        <v>0</v>
      </c>
      <c r="R12" s="159"/>
      <c r="S12" s="159"/>
      <c r="T12" s="159">
        <f t="shared" ref="T12:T17" si="24">V12-R12-S12</f>
        <v>0</v>
      </c>
      <c r="U12" s="140">
        <v>7</v>
      </c>
      <c r="V12" s="141">
        <f t="shared" ref="V12:V17" si="25">(R12+S12)*100/93</f>
        <v>0</v>
      </c>
    </row>
    <row r="13" spans="1:22" ht="63" x14ac:dyDescent="0.25">
      <c r="A13" s="204" t="s">
        <v>847</v>
      </c>
      <c r="B13" s="155" t="s">
        <v>613</v>
      </c>
      <c r="C13" s="162" t="s">
        <v>555</v>
      </c>
      <c r="D13" s="163" t="s">
        <v>755</v>
      </c>
      <c r="E13" s="208">
        <f t="shared" si="18"/>
        <v>265919.99849462369</v>
      </c>
      <c r="F13" s="159">
        <v>247300</v>
      </c>
      <c r="G13" s="159"/>
      <c r="H13" s="159">
        <f>J13-F13-G13+6.02</f>
        <v>18619.998494623676</v>
      </c>
      <c r="I13" s="140">
        <v>7</v>
      </c>
      <c r="J13" s="141">
        <f t="shared" si="20"/>
        <v>265913.97849462368</v>
      </c>
      <c r="K13" s="158">
        <f>L13+M13+N13</f>
        <v>265913.97849462368</v>
      </c>
      <c r="L13" s="159">
        <v>247300</v>
      </c>
      <c r="M13" s="159"/>
      <c r="N13" s="159">
        <f t="shared" si="21"/>
        <v>18613.978494623676</v>
      </c>
      <c r="O13" s="140">
        <v>7</v>
      </c>
      <c r="P13" s="141">
        <f t="shared" si="22"/>
        <v>265913.97849462368</v>
      </c>
      <c r="Q13" s="158">
        <f t="shared" si="23"/>
        <v>265913.97849462368</v>
      </c>
      <c r="R13" s="159">
        <v>247300</v>
      </c>
      <c r="S13" s="159"/>
      <c r="T13" s="159">
        <f t="shared" si="24"/>
        <v>18613.978494623676</v>
      </c>
      <c r="U13" s="140">
        <v>7</v>
      </c>
      <c r="V13" s="141">
        <f t="shared" si="25"/>
        <v>265913.97849462368</v>
      </c>
    </row>
    <row r="14" spans="1:22" s="131" customFormat="1" ht="31.5" hidden="1" x14ac:dyDescent="0.25">
      <c r="A14" s="204"/>
      <c r="B14" s="181" t="s">
        <v>819</v>
      </c>
      <c r="C14" s="156" t="s">
        <v>448</v>
      </c>
      <c r="D14" s="168" t="s">
        <v>678</v>
      </c>
      <c r="E14" s="208">
        <f t="shared" si="18"/>
        <v>0</v>
      </c>
      <c r="F14" s="159"/>
      <c r="G14" s="159"/>
      <c r="H14" s="159">
        <f t="shared" si="19"/>
        <v>0</v>
      </c>
      <c r="I14" s="140">
        <v>7</v>
      </c>
      <c r="J14" s="141">
        <f t="shared" si="20"/>
        <v>0</v>
      </c>
      <c r="K14" s="158"/>
      <c r="L14" s="159"/>
      <c r="M14" s="159"/>
      <c r="N14" s="159">
        <f t="shared" si="21"/>
        <v>0</v>
      </c>
      <c r="O14" s="140">
        <v>7</v>
      </c>
      <c r="P14" s="141">
        <f t="shared" si="22"/>
        <v>0</v>
      </c>
      <c r="Q14" s="158">
        <f t="shared" si="23"/>
        <v>0</v>
      </c>
      <c r="R14" s="159"/>
      <c r="S14" s="159"/>
      <c r="T14" s="159">
        <f t="shared" si="24"/>
        <v>0</v>
      </c>
      <c r="U14" s="140">
        <v>7</v>
      </c>
      <c r="V14" s="141">
        <f t="shared" si="25"/>
        <v>0</v>
      </c>
    </row>
    <row r="15" spans="1:22" ht="31.5" x14ac:dyDescent="0.25">
      <c r="A15" s="204"/>
      <c r="B15" s="155" t="s">
        <v>673</v>
      </c>
      <c r="C15" s="156" t="s">
        <v>347</v>
      </c>
      <c r="D15" s="157" t="s">
        <v>130</v>
      </c>
      <c r="E15" s="208">
        <f t="shared" si="18"/>
        <v>255053.7634408602</v>
      </c>
      <c r="F15" s="159">
        <v>237200</v>
      </c>
      <c r="G15" s="159"/>
      <c r="H15" s="212">
        <f t="shared" si="19"/>
        <v>17853.763440860203</v>
      </c>
      <c r="I15" s="140">
        <v>7</v>
      </c>
      <c r="J15" s="141">
        <f t="shared" si="20"/>
        <v>255053.7634408602</v>
      </c>
      <c r="K15" s="158">
        <f>L15+M15+N15</f>
        <v>255053.7634408602</v>
      </c>
      <c r="L15" s="191">
        <v>237200</v>
      </c>
      <c r="M15" s="159"/>
      <c r="N15" s="212">
        <f t="shared" si="21"/>
        <v>17853.763440860203</v>
      </c>
      <c r="O15" s="140">
        <v>7</v>
      </c>
      <c r="P15" s="141">
        <f t="shared" si="22"/>
        <v>255053.7634408602</v>
      </c>
      <c r="Q15" s="158">
        <f t="shared" si="23"/>
        <v>255053.7634408602</v>
      </c>
      <c r="R15" s="159">
        <v>237200</v>
      </c>
      <c r="S15" s="159"/>
      <c r="T15" s="212">
        <f t="shared" si="24"/>
        <v>17853.763440860203</v>
      </c>
      <c r="U15" s="140">
        <v>7</v>
      </c>
      <c r="V15" s="141">
        <f t="shared" si="25"/>
        <v>255053.7634408602</v>
      </c>
    </row>
    <row r="16" spans="1:22" ht="126" x14ac:dyDescent="0.25">
      <c r="A16" s="204" t="s">
        <v>847</v>
      </c>
      <c r="B16" s="155" t="s">
        <v>674</v>
      </c>
      <c r="C16" s="156" t="s">
        <v>557</v>
      </c>
      <c r="D16" s="157" t="s">
        <v>181</v>
      </c>
      <c r="E16" s="208">
        <f t="shared" si="18"/>
        <v>215060.00344086019</v>
      </c>
      <c r="F16" s="159">
        <v>200000</v>
      </c>
      <c r="G16" s="159"/>
      <c r="H16" s="159">
        <f t="shared" si="19"/>
        <v>15060.003440860193</v>
      </c>
      <c r="I16" s="140">
        <v>7</v>
      </c>
      <c r="J16" s="141">
        <f>(F16+G16)*100/93+6.24</f>
        <v>215060.00344086019</v>
      </c>
      <c r="K16" s="158">
        <f>L16+M16+N16</f>
        <v>215060.00344086019</v>
      </c>
      <c r="L16" s="159">
        <v>200000</v>
      </c>
      <c r="M16" s="159"/>
      <c r="N16" s="159">
        <f t="shared" si="21"/>
        <v>15060.003440860193</v>
      </c>
      <c r="O16" s="140">
        <v>7</v>
      </c>
      <c r="P16" s="141">
        <f>(L16+M16)*100/93+6.24</f>
        <v>215060.00344086019</v>
      </c>
      <c r="Q16" s="158">
        <f t="shared" si="23"/>
        <v>215060.00344086019</v>
      </c>
      <c r="R16" s="159">
        <v>200000</v>
      </c>
      <c r="S16" s="159"/>
      <c r="T16" s="159">
        <f t="shared" si="24"/>
        <v>15060.003440860193</v>
      </c>
      <c r="U16" s="140">
        <v>7</v>
      </c>
      <c r="V16" s="141">
        <f>(R16+S16)*100/93+6.24</f>
        <v>215060.00344086019</v>
      </c>
    </row>
    <row r="17" spans="1:22" ht="58.15" customHeight="1" x14ac:dyDescent="0.25">
      <c r="A17" s="204"/>
      <c r="B17" s="155" t="s">
        <v>701</v>
      </c>
      <c r="C17" s="156" t="s">
        <v>695</v>
      </c>
      <c r="D17" s="157" t="s">
        <v>694</v>
      </c>
      <c r="E17" s="208">
        <f t="shared" si="18"/>
        <v>7419829.9996774197</v>
      </c>
      <c r="F17" s="159">
        <v>6900436.9800000004</v>
      </c>
      <c r="G17" s="159"/>
      <c r="H17" s="159">
        <f t="shared" si="19"/>
        <v>519393.01967741922</v>
      </c>
      <c r="I17" s="140">
        <v>7</v>
      </c>
      <c r="J17" s="141">
        <f>(F17+G17)*100/93+5.29</f>
        <v>7419829.9996774197</v>
      </c>
      <c r="K17" s="158">
        <f>L17+M17+N17</f>
        <v>0</v>
      </c>
      <c r="L17" s="159"/>
      <c r="M17" s="159"/>
      <c r="N17" s="159">
        <f t="shared" si="21"/>
        <v>0</v>
      </c>
      <c r="O17" s="140">
        <v>7</v>
      </c>
      <c r="P17" s="141">
        <f t="shared" si="22"/>
        <v>0</v>
      </c>
      <c r="Q17" s="158">
        <f t="shared" si="23"/>
        <v>0</v>
      </c>
      <c r="R17" s="159"/>
      <c r="S17" s="159"/>
      <c r="T17" s="159">
        <f t="shared" si="24"/>
        <v>0</v>
      </c>
      <c r="U17" s="140">
        <v>7</v>
      </c>
      <c r="V17" s="141">
        <f t="shared" si="25"/>
        <v>0</v>
      </c>
    </row>
    <row r="18" spans="1:22" s="131" customFormat="1" ht="58.15" customHeight="1" x14ac:dyDescent="0.25">
      <c r="A18" s="204"/>
      <c r="B18" s="155" t="s">
        <v>843</v>
      </c>
      <c r="C18" s="156" t="s">
        <v>815</v>
      </c>
      <c r="D18" s="157" t="s">
        <v>817</v>
      </c>
      <c r="E18" s="208">
        <f>F18</f>
        <v>22222222</v>
      </c>
      <c r="F18" s="159">
        <v>22222222</v>
      </c>
      <c r="G18" s="159"/>
      <c r="H18" s="159"/>
      <c r="I18" s="140" t="s">
        <v>846</v>
      </c>
      <c r="J18" s="141"/>
      <c r="K18" s="158"/>
      <c r="L18" s="159"/>
      <c r="M18" s="159"/>
      <c r="N18" s="159"/>
      <c r="O18" s="140"/>
      <c r="P18" s="141"/>
      <c r="Q18" s="158"/>
      <c r="R18" s="159"/>
      <c r="S18" s="159"/>
      <c r="T18" s="159"/>
      <c r="U18" s="140"/>
      <c r="V18" s="141"/>
    </row>
    <row r="19" spans="1:22" s="129" customFormat="1" ht="31.5" hidden="1" x14ac:dyDescent="0.25">
      <c r="A19" s="204"/>
      <c r="B19" s="155" t="s">
        <v>655</v>
      </c>
      <c r="C19" s="156" t="s">
        <v>725</v>
      </c>
      <c r="D19" s="163" t="s">
        <v>756</v>
      </c>
      <c r="E19" s="208">
        <f t="shared" ref="E19:E27" si="26">F19+G19+H19</f>
        <v>0</v>
      </c>
      <c r="F19" s="159"/>
      <c r="G19" s="159"/>
      <c r="H19" s="159">
        <f t="shared" ref="H19:H27" si="27">J19-F19-G19</f>
        <v>0</v>
      </c>
      <c r="I19" s="140">
        <v>7</v>
      </c>
      <c r="J19" s="141">
        <f t="shared" ref="J19:J26" si="28">(F19+G19)*100/93</f>
        <v>0</v>
      </c>
      <c r="K19" s="158">
        <f>L19+M19+N19</f>
        <v>0</v>
      </c>
      <c r="L19" s="159"/>
      <c r="M19" s="159"/>
      <c r="N19" s="159">
        <f t="shared" ref="N19:N30" si="29">P19-L19-M19</f>
        <v>0</v>
      </c>
      <c r="O19" s="140">
        <v>7</v>
      </c>
      <c r="P19" s="141">
        <f t="shared" ref="P19:P26" si="30">(L19+M19)*100/93</f>
        <v>0</v>
      </c>
      <c r="Q19" s="158">
        <f t="shared" ref="Q19:Q27" si="31">R19+S19+T19</f>
        <v>0</v>
      </c>
      <c r="R19" s="159"/>
      <c r="S19" s="159"/>
      <c r="T19" s="159">
        <f t="shared" ref="T19:T27" si="32">V19-R19-S19</f>
        <v>0</v>
      </c>
      <c r="U19" s="140">
        <v>7</v>
      </c>
      <c r="V19" s="141">
        <f t="shared" ref="V19:V26" si="33">(R19+S19)*100/93</f>
        <v>0</v>
      </c>
    </row>
    <row r="20" spans="1:22" s="131" customFormat="1" ht="94.5" hidden="1" x14ac:dyDescent="0.25">
      <c r="A20" s="204"/>
      <c r="B20" s="163" t="s">
        <v>655</v>
      </c>
      <c r="C20" s="156" t="s">
        <v>806</v>
      </c>
      <c r="D20" s="168" t="s">
        <v>798</v>
      </c>
      <c r="E20" s="208">
        <f t="shared" si="26"/>
        <v>0</v>
      </c>
      <c r="F20" s="159"/>
      <c r="G20" s="159"/>
      <c r="H20" s="159">
        <f t="shared" si="27"/>
        <v>0</v>
      </c>
      <c r="I20" s="140">
        <v>7</v>
      </c>
      <c r="J20" s="141">
        <f t="shared" si="28"/>
        <v>0</v>
      </c>
      <c r="K20" s="158"/>
      <c r="L20" s="159"/>
      <c r="M20" s="159"/>
      <c r="N20" s="159">
        <f t="shared" si="29"/>
        <v>0</v>
      </c>
      <c r="O20" s="140">
        <v>7</v>
      </c>
      <c r="P20" s="141">
        <f t="shared" si="30"/>
        <v>0</v>
      </c>
      <c r="Q20" s="158">
        <f t="shared" si="31"/>
        <v>0</v>
      </c>
      <c r="R20" s="159"/>
      <c r="S20" s="159"/>
      <c r="T20" s="159">
        <f t="shared" si="32"/>
        <v>0</v>
      </c>
      <c r="U20" s="140">
        <v>7</v>
      </c>
      <c r="V20" s="141">
        <f t="shared" si="33"/>
        <v>0</v>
      </c>
    </row>
    <row r="21" spans="1:22" s="131" customFormat="1" ht="31.5" hidden="1" x14ac:dyDescent="0.25">
      <c r="A21" s="204"/>
      <c r="B21" s="163" t="s">
        <v>655</v>
      </c>
      <c r="C21" s="156" t="s">
        <v>809</v>
      </c>
      <c r="D21" s="168" t="s">
        <v>808</v>
      </c>
      <c r="E21" s="208">
        <f t="shared" si="26"/>
        <v>0</v>
      </c>
      <c r="F21" s="159"/>
      <c r="G21" s="159"/>
      <c r="H21" s="159">
        <f t="shared" si="27"/>
        <v>0</v>
      </c>
      <c r="I21" s="140">
        <v>7</v>
      </c>
      <c r="J21" s="141">
        <f t="shared" si="28"/>
        <v>0</v>
      </c>
      <c r="K21" s="158"/>
      <c r="L21" s="159"/>
      <c r="M21" s="159"/>
      <c r="N21" s="159">
        <f t="shared" si="29"/>
        <v>0</v>
      </c>
      <c r="O21" s="140">
        <v>7</v>
      </c>
      <c r="P21" s="141">
        <f t="shared" si="30"/>
        <v>0</v>
      </c>
      <c r="Q21" s="158">
        <f t="shared" si="31"/>
        <v>0</v>
      </c>
      <c r="R21" s="159"/>
      <c r="S21" s="159"/>
      <c r="T21" s="159">
        <f t="shared" si="32"/>
        <v>0</v>
      </c>
      <c r="U21" s="140">
        <v>7</v>
      </c>
      <c r="V21" s="141">
        <f t="shared" si="33"/>
        <v>0</v>
      </c>
    </row>
    <row r="22" spans="1:22" s="131" customFormat="1" ht="31.5" x14ac:dyDescent="0.25">
      <c r="A22" s="204"/>
      <c r="B22" s="163" t="s">
        <v>655</v>
      </c>
      <c r="C22" s="156" t="s">
        <v>300</v>
      </c>
      <c r="D22" s="168" t="s">
        <v>812</v>
      </c>
      <c r="E22" s="208">
        <f t="shared" si="26"/>
        <v>34068758.399999999</v>
      </c>
      <c r="F22" s="159">
        <v>505477.71</v>
      </c>
      <c r="G22" s="159">
        <v>24768407.59</v>
      </c>
      <c r="H22" s="159">
        <v>8794873.0999999996</v>
      </c>
      <c r="I22" s="140">
        <v>7</v>
      </c>
      <c r="J22" s="141">
        <f t="shared" si="28"/>
        <v>27176220.752688173</v>
      </c>
      <c r="K22" s="158"/>
      <c r="L22" s="159"/>
      <c r="M22" s="159"/>
      <c r="N22" s="159">
        <f t="shared" si="29"/>
        <v>0</v>
      </c>
      <c r="O22" s="140">
        <v>7</v>
      </c>
      <c r="P22" s="141">
        <f t="shared" si="30"/>
        <v>0</v>
      </c>
      <c r="Q22" s="158">
        <f t="shared" si="31"/>
        <v>0</v>
      </c>
      <c r="R22" s="159"/>
      <c r="S22" s="159"/>
      <c r="T22" s="159">
        <f t="shared" si="32"/>
        <v>0</v>
      </c>
      <c r="U22" s="140">
        <v>7</v>
      </c>
      <c r="V22" s="141">
        <f t="shared" si="33"/>
        <v>0</v>
      </c>
    </row>
    <row r="23" spans="1:22" s="131" customFormat="1" ht="47.25" x14ac:dyDescent="0.25">
      <c r="A23" s="204"/>
      <c r="B23" s="163" t="s">
        <v>655</v>
      </c>
      <c r="C23" s="156" t="s">
        <v>709</v>
      </c>
      <c r="D23" s="168" t="s">
        <v>818</v>
      </c>
      <c r="E23" s="208">
        <f t="shared" si="26"/>
        <v>0</v>
      </c>
      <c r="F23" s="159"/>
      <c r="G23" s="159"/>
      <c r="H23" s="159">
        <f t="shared" si="27"/>
        <v>0</v>
      </c>
      <c r="I23" s="140">
        <v>7</v>
      </c>
      <c r="J23" s="141">
        <f t="shared" si="28"/>
        <v>0</v>
      </c>
      <c r="K23" s="158"/>
      <c r="L23" s="159"/>
      <c r="M23" s="159"/>
      <c r="N23" s="159">
        <f t="shared" si="29"/>
        <v>0</v>
      </c>
      <c r="O23" s="140">
        <v>7</v>
      </c>
      <c r="P23" s="141">
        <f t="shared" si="30"/>
        <v>0</v>
      </c>
      <c r="Q23" s="158">
        <f t="shared" si="31"/>
        <v>0</v>
      </c>
      <c r="R23" s="159"/>
      <c r="S23" s="159"/>
      <c r="T23" s="159">
        <f t="shared" si="32"/>
        <v>0</v>
      </c>
      <c r="U23" s="140">
        <v>7</v>
      </c>
      <c r="V23" s="141">
        <f t="shared" si="33"/>
        <v>0</v>
      </c>
    </row>
    <row r="24" spans="1:22" s="131" customFormat="1" ht="31.5" x14ac:dyDescent="0.25">
      <c r="A24" s="204"/>
      <c r="B24" s="163" t="s">
        <v>655</v>
      </c>
      <c r="C24" s="156" t="s">
        <v>809</v>
      </c>
      <c r="D24" s="168" t="s">
        <v>808</v>
      </c>
      <c r="E24" s="208">
        <f t="shared" si="26"/>
        <v>3033091.33</v>
      </c>
      <c r="F24" s="159">
        <v>42463.26</v>
      </c>
      <c r="G24" s="159">
        <v>2080700</v>
      </c>
      <c r="H24" s="159">
        <f>900827.68+9100.39</f>
        <v>909928.07000000007</v>
      </c>
      <c r="I24" s="140">
        <v>5.4</v>
      </c>
      <c r="J24" s="141">
        <f t="shared" si="28"/>
        <v>2282971.2473118277</v>
      </c>
      <c r="K24" s="158"/>
      <c r="L24" s="159"/>
      <c r="M24" s="159"/>
      <c r="N24" s="159">
        <f t="shared" si="29"/>
        <v>0</v>
      </c>
      <c r="O24" s="140">
        <v>7</v>
      </c>
      <c r="P24" s="141">
        <f t="shared" si="30"/>
        <v>0</v>
      </c>
      <c r="Q24" s="158">
        <f t="shared" si="31"/>
        <v>0</v>
      </c>
      <c r="R24" s="159"/>
      <c r="S24" s="159"/>
      <c r="T24" s="159">
        <f t="shared" si="32"/>
        <v>0</v>
      </c>
      <c r="U24" s="140">
        <v>7</v>
      </c>
      <c r="V24" s="141">
        <f t="shared" si="33"/>
        <v>0</v>
      </c>
    </row>
    <row r="25" spans="1:22" s="131" customFormat="1" ht="94.5" x14ac:dyDescent="0.25">
      <c r="A25" s="204"/>
      <c r="B25" s="163" t="s">
        <v>655</v>
      </c>
      <c r="C25" s="156" t="s">
        <v>806</v>
      </c>
      <c r="D25" s="168" t="s">
        <v>1018</v>
      </c>
      <c r="E25" s="208">
        <f t="shared" ref="E25" si="34">F25+G25+H25</f>
        <v>7500000</v>
      </c>
      <c r="F25" s="159"/>
      <c r="G25" s="159">
        <v>7500000</v>
      </c>
      <c r="H25" s="159"/>
      <c r="I25" s="140">
        <v>7</v>
      </c>
      <c r="J25" s="141">
        <f t="shared" ref="J25" si="35">(F25+G25)*100/93</f>
        <v>8064516.1290322579</v>
      </c>
      <c r="K25" s="158"/>
      <c r="L25" s="159"/>
      <c r="M25" s="159"/>
      <c r="N25" s="159"/>
      <c r="O25" s="140"/>
      <c r="P25" s="141"/>
      <c r="Q25" s="158"/>
      <c r="R25" s="159"/>
      <c r="S25" s="159"/>
      <c r="T25" s="159"/>
      <c r="U25" s="140"/>
      <c r="V25" s="141"/>
    </row>
    <row r="26" spans="1:22" s="129" customFormat="1" ht="110.25" x14ac:dyDescent="0.25">
      <c r="A26" s="204"/>
      <c r="B26" s="155" t="s">
        <v>671</v>
      </c>
      <c r="C26" s="156" t="s">
        <v>593</v>
      </c>
      <c r="D26" s="157" t="s">
        <v>675</v>
      </c>
      <c r="E26" s="208">
        <f t="shared" si="26"/>
        <v>701075.26881720428</v>
      </c>
      <c r="F26" s="159">
        <v>652000</v>
      </c>
      <c r="G26" s="159"/>
      <c r="H26" s="212">
        <f t="shared" si="27"/>
        <v>49075.268817204284</v>
      </c>
      <c r="I26" s="140">
        <v>7</v>
      </c>
      <c r="J26" s="141">
        <f t="shared" si="28"/>
        <v>701075.26881720428</v>
      </c>
      <c r="K26" s="158">
        <f>L26+M26+N26</f>
        <v>701075.26881720428</v>
      </c>
      <c r="L26" s="159">
        <v>652000</v>
      </c>
      <c r="M26" s="159"/>
      <c r="N26" s="159">
        <f t="shared" si="29"/>
        <v>49075.268817204284</v>
      </c>
      <c r="O26" s="140">
        <v>7</v>
      </c>
      <c r="P26" s="141">
        <f t="shared" si="30"/>
        <v>701075.26881720428</v>
      </c>
      <c r="Q26" s="158">
        <f t="shared" si="31"/>
        <v>701075.26881720428</v>
      </c>
      <c r="R26" s="159">
        <v>652000</v>
      </c>
      <c r="S26" s="159"/>
      <c r="T26" s="159">
        <f t="shared" si="32"/>
        <v>49075.268817204284</v>
      </c>
      <c r="U26" s="140">
        <v>7</v>
      </c>
      <c r="V26" s="141">
        <f t="shared" si="33"/>
        <v>701075.26881720428</v>
      </c>
    </row>
    <row r="27" spans="1:22" s="131" customFormat="1" ht="47.25" x14ac:dyDescent="0.25">
      <c r="A27" s="204"/>
      <c r="B27" s="163" t="s">
        <v>765</v>
      </c>
      <c r="C27" s="156" t="s">
        <v>739</v>
      </c>
      <c r="D27" s="168" t="s">
        <v>749</v>
      </c>
      <c r="E27" s="208">
        <f t="shared" si="26"/>
        <v>3373340.0033333334</v>
      </c>
      <c r="F27" s="159">
        <v>3137200</v>
      </c>
      <c r="G27" s="159"/>
      <c r="H27" s="212">
        <f t="shared" si="27"/>
        <v>236140.00333333341</v>
      </c>
      <c r="I27" s="140">
        <v>7</v>
      </c>
      <c r="J27" s="141">
        <f>(F27+G27)*100/93+6.67</f>
        <v>3373340.0033333334</v>
      </c>
      <c r="K27" s="158">
        <f>L27+M27+N27</f>
        <v>3417530.0017204303</v>
      </c>
      <c r="L27" s="159">
        <v>3178300</v>
      </c>
      <c r="M27" s="159"/>
      <c r="N27" s="212">
        <f t="shared" si="29"/>
        <v>239230.00172043033</v>
      </c>
      <c r="O27" s="140">
        <v>7</v>
      </c>
      <c r="P27" s="141">
        <f>(L27+M27)*100/93+3.12</f>
        <v>3417530.0017204303</v>
      </c>
      <c r="Q27" s="158">
        <f t="shared" si="31"/>
        <v>3522690.0020430107</v>
      </c>
      <c r="R27" s="159">
        <v>3276100</v>
      </c>
      <c r="S27" s="159"/>
      <c r="T27" s="159">
        <f t="shared" si="32"/>
        <v>246590.00204301067</v>
      </c>
      <c r="U27" s="140">
        <v>7</v>
      </c>
      <c r="V27" s="141">
        <f>(R27+S27)*100/93+1.83</f>
        <v>3522690.0020430107</v>
      </c>
    </row>
    <row r="28" spans="1:22" s="129" customFormat="1" ht="78.75" x14ac:dyDescent="0.25">
      <c r="A28" s="204"/>
      <c r="B28" s="155" t="s">
        <v>652</v>
      </c>
      <c r="C28" s="156" t="s">
        <v>661</v>
      </c>
      <c r="D28" s="167" t="s">
        <v>646</v>
      </c>
      <c r="E28" s="208">
        <f t="shared" si="9"/>
        <v>5213200.0024101483</v>
      </c>
      <c r="F28" s="159">
        <v>542484.31999999995</v>
      </c>
      <c r="G28" s="159">
        <v>4389115.68</v>
      </c>
      <c r="H28" s="212">
        <f>J28-F28-G28+92.18</f>
        <v>281600.00241014856</v>
      </c>
      <c r="I28" s="140">
        <v>5.4</v>
      </c>
      <c r="J28" s="141">
        <f>(F28+G28)*100/94.6</f>
        <v>5213107.8224101486</v>
      </c>
      <c r="K28" s="158">
        <f t="shared" si="10"/>
        <v>5463100.0026881723</v>
      </c>
      <c r="L28" s="159">
        <v>558874.16</v>
      </c>
      <c r="M28" s="159">
        <v>4521725.84</v>
      </c>
      <c r="N28" s="212">
        <f>P28-L28-M28+89.25</f>
        <v>382500.00268817227</v>
      </c>
      <c r="O28" s="140">
        <v>7</v>
      </c>
      <c r="P28" s="141">
        <f t="shared" si="15"/>
        <v>5463010.7526881723</v>
      </c>
      <c r="Q28" s="158">
        <f t="shared" si="11"/>
        <v>5463100.0026881723</v>
      </c>
      <c r="R28" s="159">
        <v>660507.04</v>
      </c>
      <c r="S28" s="159">
        <v>4420092.96</v>
      </c>
      <c r="T28" s="159">
        <f>V28-R28-S28+89.25</f>
        <v>382500.00268817227</v>
      </c>
      <c r="U28" s="140">
        <v>7</v>
      </c>
      <c r="V28" s="141">
        <f t="shared" si="17"/>
        <v>5463010.7526881723</v>
      </c>
    </row>
    <row r="29" spans="1:22" ht="42" customHeight="1" x14ac:dyDescent="0.25">
      <c r="A29" s="204"/>
      <c r="B29" s="155" t="s">
        <v>874</v>
      </c>
      <c r="C29" s="171" t="s">
        <v>842</v>
      </c>
      <c r="D29" s="163" t="s">
        <v>479</v>
      </c>
      <c r="E29" s="208">
        <f>F29+G29+H29</f>
        <v>6216344.0860215053</v>
      </c>
      <c r="F29" s="159">
        <v>5781200</v>
      </c>
      <c r="G29" s="159"/>
      <c r="H29" s="212">
        <f>J29-F29-G29</f>
        <v>435144.0860215053</v>
      </c>
      <c r="I29" s="140">
        <v>7</v>
      </c>
      <c r="J29" s="141">
        <f>(F29+G29)*100/93</f>
        <v>6216344.0860215053</v>
      </c>
      <c r="K29" s="158">
        <f>L29+M29+N29</f>
        <v>6418494.6236559143</v>
      </c>
      <c r="L29" s="159">
        <v>5969200</v>
      </c>
      <c r="M29" s="159"/>
      <c r="N29" s="212">
        <f t="shared" si="29"/>
        <v>449294.62365591433</v>
      </c>
      <c r="O29" s="140">
        <v>7</v>
      </c>
      <c r="P29" s="141">
        <f>(L29+M29)*100/93</f>
        <v>6418494.6236559143</v>
      </c>
      <c r="Q29" s="158">
        <f>R29+S29+T29</f>
        <v>6628817.2043010751</v>
      </c>
      <c r="R29" s="159">
        <v>6164800</v>
      </c>
      <c r="S29" s="159"/>
      <c r="T29" s="159">
        <f>V29-R29-S29</f>
        <v>464017.20430107508</v>
      </c>
      <c r="U29" s="140">
        <v>7</v>
      </c>
      <c r="V29" s="141">
        <f>(R29+S29)*100/93</f>
        <v>6628817.2043010751</v>
      </c>
    </row>
    <row r="30" spans="1:22" s="131" customFormat="1" ht="31.5" hidden="1" x14ac:dyDescent="0.25">
      <c r="A30" s="204"/>
      <c r="B30" s="163" t="s">
        <v>670</v>
      </c>
      <c r="C30" s="156" t="s">
        <v>799</v>
      </c>
      <c r="D30" s="168" t="s">
        <v>800</v>
      </c>
      <c r="E30" s="208">
        <f>F30+G30+H30</f>
        <v>0</v>
      </c>
      <c r="F30" s="159"/>
      <c r="G30" s="159"/>
      <c r="H30" s="159">
        <f>J30-F30-G30</f>
        <v>0</v>
      </c>
      <c r="I30" s="140">
        <v>7</v>
      </c>
      <c r="J30" s="141">
        <f>(F30+G30)*100/93</f>
        <v>0</v>
      </c>
      <c r="K30" s="158"/>
      <c r="L30" s="159"/>
      <c r="M30" s="159"/>
      <c r="N30" s="159">
        <f t="shared" si="29"/>
        <v>0</v>
      </c>
      <c r="O30" s="140">
        <v>7</v>
      </c>
      <c r="P30" s="141">
        <f>(L30+M30)*100/93</f>
        <v>0</v>
      </c>
      <c r="Q30" s="158">
        <f>R30+S30+T30</f>
        <v>0</v>
      </c>
      <c r="R30" s="159"/>
      <c r="S30" s="159"/>
      <c r="T30" s="159">
        <f>V30-R30-S30</f>
        <v>0</v>
      </c>
      <c r="U30" s="140">
        <v>7</v>
      </c>
      <c r="V30" s="141">
        <f>(R30+S30)*100/93</f>
        <v>0</v>
      </c>
    </row>
    <row r="31" spans="1:22" s="131" customFormat="1" ht="31.5" hidden="1" x14ac:dyDescent="0.25">
      <c r="A31" s="204"/>
      <c r="B31" s="155" t="s">
        <v>614</v>
      </c>
      <c r="C31" s="198" t="s">
        <v>762</v>
      </c>
      <c r="D31" s="157" t="s">
        <v>552</v>
      </c>
      <c r="E31" s="208">
        <f t="shared" si="9"/>
        <v>0</v>
      </c>
      <c r="F31" s="159"/>
      <c r="G31" s="159"/>
      <c r="H31" s="159">
        <f t="shared" si="12"/>
        <v>0</v>
      </c>
      <c r="I31" s="140">
        <v>7</v>
      </c>
      <c r="J31" s="141">
        <f t="shared" si="13"/>
        <v>0</v>
      </c>
      <c r="K31" s="158">
        <f t="shared" si="10"/>
        <v>0</v>
      </c>
      <c r="L31" s="158"/>
      <c r="M31" s="158"/>
      <c r="N31" s="159">
        <f t="shared" si="14"/>
        <v>0</v>
      </c>
      <c r="O31" s="140">
        <v>7</v>
      </c>
      <c r="P31" s="141">
        <f t="shared" si="15"/>
        <v>0</v>
      </c>
      <c r="Q31" s="158">
        <f t="shared" si="11"/>
        <v>0</v>
      </c>
      <c r="R31" s="159"/>
      <c r="S31" s="159"/>
      <c r="T31" s="159">
        <f t="shared" si="16"/>
        <v>0</v>
      </c>
      <c r="U31" s="140">
        <v>7</v>
      </c>
      <c r="V31" s="141">
        <f t="shared" si="17"/>
        <v>0</v>
      </c>
    </row>
    <row r="32" spans="1:22" s="131" customFormat="1" ht="63" hidden="1" x14ac:dyDescent="0.25">
      <c r="A32" s="204"/>
      <c r="B32" s="163" t="s">
        <v>830</v>
      </c>
      <c r="C32" s="156" t="s">
        <v>713</v>
      </c>
      <c r="D32" s="168" t="s">
        <v>829</v>
      </c>
      <c r="E32" s="208">
        <f>F32+G32+H32</f>
        <v>0</v>
      </c>
      <c r="F32" s="159"/>
      <c r="G32" s="159"/>
      <c r="H32" s="159">
        <f>J32-F32-G32</f>
        <v>0</v>
      </c>
      <c r="I32" s="140">
        <v>7</v>
      </c>
      <c r="J32" s="141">
        <f>(F32+G32)*100/93</f>
        <v>0</v>
      </c>
      <c r="K32" s="158"/>
      <c r="L32" s="159"/>
      <c r="M32" s="159"/>
      <c r="N32" s="159">
        <f>P32-L32-M32</f>
        <v>0</v>
      </c>
      <c r="O32" s="140">
        <v>7</v>
      </c>
      <c r="P32" s="141">
        <f>(L32+M32)*100/93</f>
        <v>0</v>
      </c>
      <c r="Q32" s="158">
        <f>R32+S32+T32</f>
        <v>0</v>
      </c>
      <c r="R32" s="159"/>
      <c r="S32" s="159"/>
      <c r="T32" s="159">
        <f>V32-R32-S32</f>
        <v>0</v>
      </c>
      <c r="U32" s="140">
        <v>7</v>
      </c>
      <c r="V32" s="141">
        <f>(R32+S32)*100/93</f>
        <v>0</v>
      </c>
    </row>
    <row r="33" spans="1:22" ht="47.25" x14ac:dyDescent="0.25">
      <c r="A33" s="204"/>
      <c r="B33" s="155" t="s">
        <v>668</v>
      </c>
      <c r="C33" s="156" t="s">
        <v>754</v>
      </c>
      <c r="D33" s="157" t="s">
        <v>844</v>
      </c>
      <c r="E33" s="208">
        <f t="shared" si="9"/>
        <v>7506900</v>
      </c>
      <c r="F33" s="159">
        <v>5254800</v>
      </c>
      <c r="G33" s="159"/>
      <c r="H33" s="159">
        <v>2252100</v>
      </c>
      <c r="I33" s="140">
        <v>7</v>
      </c>
      <c r="J33" s="141">
        <f>(F33+G33)*100/93+7.42</f>
        <v>5650330.0006451616</v>
      </c>
      <c r="K33" s="158">
        <f t="shared" si="10"/>
        <v>5876669.9966666671</v>
      </c>
      <c r="L33" s="159">
        <v>5465300</v>
      </c>
      <c r="M33" s="159"/>
      <c r="N33" s="159">
        <f t="shared" ref="N33:N34" si="36">P33-L33-M33</f>
        <v>411369.99666666705</v>
      </c>
      <c r="O33" s="140">
        <v>7</v>
      </c>
      <c r="P33" s="141">
        <f>(L33+M33)*100/93+3.33</f>
        <v>5876669.9966666671</v>
      </c>
      <c r="Q33" s="158">
        <f t="shared" si="11"/>
        <v>6111399.9994623661</v>
      </c>
      <c r="R33" s="159">
        <v>5683600</v>
      </c>
      <c r="S33" s="159"/>
      <c r="T33" s="159">
        <f t="shared" si="16"/>
        <v>427799.9994623661</v>
      </c>
      <c r="U33" s="140">
        <v>7</v>
      </c>
      <c r="V33" s="141">
        <f>(R33+S33)*100/93+2.15</f>
        <v>6111399.9994623661</v>
      </c>
    </row>
    <row r="34" spans="1:22" ht="31.5" hidden="1" x14ac:dyDescent="0.25">
      <c r="A34" s="204"/>
      <c r="B34" s="155" t="s">
        <v>668</v>
      </c>
      <c r="C34" s="156" t="s">
        <v>752</v>
      </c>
      <c r="D34" s="161" t="s">
        <v>845</v>
      </c>
      <c r="E34" s="208">
        <f t="shared" si="9"/>
        <v>0</v>
      </c>
      <c r="F34" s="159"/>
      <c r="G34" s="159"/>
      <c r="H34" s="159">
        <f t="shared" si="12"/>
        <v>0</v>
      </c>
      <c r="I34" s="140">
        <v>7</v>
      </c>
      <c r="J34" s="141">
        <f t="shared" si="13"/>
        <v>0</v>
      </c>
      <c r="K34" s="158">
        <f t="shared" si="10"/>
        <v>0</v>
      </c>
      <c r="L34" s="159"/>
      <c r="M34" s="159"/>
      <c r="N34" s="159">
        <f t="shared" si="36"/>
        <v>0</v>
      </c>
      <c r="O34" s="140">
        <v>7</v>
      </c>
      <c r="P34" s="141">
        <f t="shared" si="15"/>
        <v>0</v>
      </c>
      <c r="Q34" s="158">
        <f t="shared" si="11"/>
        <v>0</v>
      </c>
      <c r="R34" s="159"/>
      <c r="S34" s="159"/>
      <c r="T34" s="159">
        <f t="shared" si="16"/>
        <v>0</v>
      </c>
      <c r="U34" s="140">
        <v>7</v>
      </c>
      <c r="V34" s="141">
        <f t="shared" si="17"/>
        <v>0</v>
      </c>
    </row>
    <row r="37" spans="1:22" ht="15.75" x14ac:dyDescent="0.25">
      <c r="B37" s="135" t="s">
        <v>679</v>
      </c>
      <c r="C37" s="196"/>
      <c r="D37" s="137"/>
      <c r="E37" s="210">
        <f>SUM(E5:E34)</f>
        <v>101089664.85068971</v>
      </c>
      <c r="F37" s="151">
        <f>SUM(F1:F34)</f>
        <v>45918481.030000009</v>
      </c>
      <c r="G37" s="151">
        <f>SUM(G5:G34)</f>
        <v>41457526.509999998</v>
      </c>
      <c r="H37" s="151">
        <f>SUM(H5:H34)</f>
        <v>13713657.310689719</v>
      </c>
      <c r="I37" s="140"/>
      <c r="J37" s="141"/>
      <c r="K37" s="151">
        <f>SUM(K5:K34)</f>
        <v>22926897.638924733</v>
      </c>
      <c r="L37" s="151">
        <f>SUM(L5:L34)</f>
        <v>16539304.66</v>
      </c>
      <c r="M37" s="151">
        <f>SUM(M5:M34)</f>
        <v>4773195.34</v>
      </c>
      <c r="N37" s="151">
        <f>SUM(N5:N34)</f>
        <v>1614397.6389247323</v>
      </c>
      <c r="O37" s="140"/>
      <c r="P37" s="141"/>
      <c r="Q37" s="151">
        <f>SUM(Q5:Q34)</f>
        <v>23477110.222688172</v>
      </c>
      <c r="R37" s="151">
        <f>SUM(R5:R34)</f>
        <v>17152637.539999999</v>
      </c>
      <c r="S37" s="151">
        <f>SUM(S5:S34)</f>
        <v>4671562.46</v>
      </c>
      <c r="T37" s="151">
        <f>SUM(T5:T34)</f>
        <v>1652910.2226881725</v>
      </c>
      <c r="U37" s="141"/>
      <c r="V37" s="141"/>
    </row>
    <row r="38" spans="1:22" ht="15.75" x14ac:dyDescent="0.25">
      <c r="B38" s="138"/>
      <c r="C38" s="199"/>
      <c r="D38" s="139" t="s">
        <v>766</v>
      </c>
      <c r="E38" s="211"/>
      <c r="F38" s="152">
        <f>(F37+G37)/1000</f>
        <v>87376.007540000006</v>
      </c>
      <c r="G38" s="152"/>
      <c r="H38" s="152"/>
      <c r="K38" s="152"/>
      <c r="L38" s="152">
        <f>L37+M37</f>
        <v>21312500</v>
      </c>
      <c r="M38" s="152"/>
      <c r="N38" s="152"/>
      <c r="Q38" s="152"/>
      <c r="R38" s="152">
        <f>R37+S37</f>
        <v>21824200</v>
      </c>
      <c r="S38" s="152"/>
      <c r="T38" s="152"/>
      <c r="U38" s="165"/>
      <c r="V38" s="165"/>
    </row>
    <row r="40" spans="1:22" s="131" customFormat="1" x14ac:dyDescent="0.25">
      <c r="B40" s="59"/>
      <c r="C40" s="194"/>
      <c r="D40" s="123"/>
      <c r="E40" s="205"/>
      <c r="F40" s="128"/>
      <c r="G40" s="128"/>
      <c r="H40" s="128"/>
      <c r="I40" s="123"/>
      <c r="J40" s="128"/>
      <c r="K40" s="165"/>
      <c r="L40" s="165"/>
      <c r="M40" s="165"/>
      <c r="N40" s="165"/>
      <c r="O40" s="122"/>
      <c r="P40" s="122"/>
      <c r="Q40" s="165"/>
      <c r="R40" s="165"/>
      <c r="S40" s="165"/>
      <c r="T40" s="86"/>
      <c r="U40" s="86"/>
      <c r="V40" s="86"/>
    </row>
    <row r="41" spans="1:22" s="131" customFormat="1" x14ac:dyDescent="0.25">
      <c r="B41" s="59"/>
      <c r="C41" s="194"/>
      <c r="D41" s="123"/>
      <c r="E41" s="205"/>
      <c r="F41" s="128"/>
      <c r="G41" s="128"/>
      <c r="H41" s="128"/>
      <c r="I41" s="123"/>
      <c r="J41" s="128"/>
      <c r="K41" s="165"/>
      <c r="L41" s="165"/>
      <c r="M41" s="165"/>
      <c r="N41" s="165"/>
      <c r="O41" s="122"/>
      <c r="P41" s="122"/>
      <c r="Q41" s="165"/>
      <c r="R41" s="165"/>
      <c r="S41" s="165"/>
      <c r="T41" s="86"/>
      <c r="U41" s="86"/>
      <c r="V41" s="86"/>
    </row>
    <row r="43" spans="1:22" ht="15.75" x14ac:dyDescent="0.25">
      <c r="C43" s="200" t="s">
        <v>782</v>
      </c>
      <c r="D43" s="123" t="s">
        <v>783</v>
      </c>
      <c r="E43" s="208">
        <f t="shared" ref="E43" si="37">F43+G43+H43</f>
        <v>0</v>
      </c>
      <c r="F43" s="159"/>
      <c r="G43" s="159"/>
      <c r="H43" s="159">
        <f>J43-F43-G43</f>
        <v>0</v>
      </c>
      <c r="I43" s="153">
        <v>7</v>
      </c>
      <c r="J43" s="154">
        <f>(F43+G43)*100/93</f>
        <v>0</v>
      </c>
      <c r="K43" s="158">
        <f t="shared" ref="K43" si="38">L43+M43+N43</f>
        <v>0</v>
      </c>
      <c r="L43" s="159"/>
      <c r="M43" s="160"/>
      <c r="N43" s="159">
        <f>P43-L43-M43</f>
        <v>0</v>
      </c>
      <c r="O43" s="153">
        <v>7</v>
      </c>
      <c r="P43" s="154">
        <f>(L43+M43)*100/93</f>
        <v>0</v>
      </c>
      <c r="Q43" s="158">
        <f t="shared" ref="Q43" si="39">R43+S43+T43</f>
        <v>0</v>
      </c>
      <c r="R43" s="159"/>
      <c r="S43" s="160"/>
      <c r="T43" s="159">
        <f>V43-R43-S43</f>
        <v>0</v>
      </c>
      <c r="U43" s="153">
        <v>7</v>
      </c>
      <c r="V43" s="154">
        <f>(R43+S43)*100/93</f>
        <v>0</v>
      </c>
    </row>
    <row r="44" spans="1:22" ht="15.75" x14ac:dyDescent="0.25">
      <c r="D44" s="123" t="s">
        <v>784</v>
      </c>
      <c r="E44" s="208">
        <f t="shared" ref="E44:E48" si="40">F44+G44+H44</f>
        <v>0</v>
      </c>
      <c r="F44" s="159"/>
      <c r="G44" s="159"/>
      <c r="H44" s="159">
        <f>J44-F44-G44</f>
        <v>0</v>
      </c>
      <c r="I44" s="153">
        <v>7</v>
      </c>
      <c r="J44" s="154">
        <f t="shared" ref="J44:J48" si="41">(F44+G44)*100/93</f>
        <v>0</v>
      </c>
      <c r="K44" s="158">
        <f t="shared" ref="K44:K48" si="42">L44+M44+N44</f>
        <v>0</v>
      </c>
      <c r="L44" s="159"/>
      <c r="M44" s="160"/>
      <c r="N44" s="159">
        <f>P44-L44-M44</f>
        <v>0</v>
      </c>
      <c r="O44" s="153">
        <v>7</v>
      </c>
      <c r="P44" s="154">
        <f t="shared" ref="P44:P48" si="43">(L44+M44)*100/93</f>
        <v>0</v>
      </c>
      <c r="Q44" s="158">
        <f t="shared" ref="Q44:Q48" si="44">R44+S44+T44</f>
        <v>0</v>
      </c>
      <c r="R44" s="159"/>
      <c r="S44" s="160"/>
      <c r="T44" s="159">
        <f>V44-R44-S44+55.91-55.91</f>
        <v>0</v>
      </c>
      <c r="U44" s="153">
        <v>7</v>
      </c>
      <c r="V44" s="154">
        <f t="shared" ref="V44:V48" si="45">(R44+S44)*100/93</f>
        <v>0</v>
      </c>
    </row>
    <row r="45" spans="1:22" ht="15.75" x14ac:dyDescent="0.25">
      <c r="D45" s="123" t="s">
        <v>785</v>
      </c>
      <c r="E45" s="208">
        <f t="shared" si="40"/>
        <v>0</v>
      </c>
      <c r="F45" s="159"/>
      <c r="G45" s="159"/>
      <c r="H45" s="159">
        <f t="shared" ref="H45:H48" si="46">J45-F45-G45</f>
        <v>0</v>
      </c>
      <c r="I45" s="153">
        <v>7</v>
      </c>
      <c r="J45" s="154">
        <f t="shared" si="41"/>
        <v>0</v>
      </c>
      <c r="K45" s="158">
        <f t="shared" si="42"/>
        <v>0</v>
      </c>
      <c r="L45" s="159"/>
      <c r="M45" s="160"/>
      <c r="N45" s="159">
        <f t="shared" ref="N45:N48" si="47">P45-L45-M45</f>
        <v>0</v>
      </c>
      <c r="O45" s="153">
        <v>7</v>
      </c>
      <c r="P45" s="154">
        <f t="shared" si="43"/>
        <v>0</v>
      </c>
      <c r="Q45" s="158">
        <f t="shared" si="44"/>
        <v>0</v>
      </c>
      <c r="R45" s="159"/>
      <c r="S45" s="160"/>
      <c r="T45" s="159">
        <f t="shared" ref="T45:T48" si="48">V45-R45-S45</f>
        <v>0</v>
      </c>
      <c r="U45" s="153">
        <v>7</v>
      </c>
      <c r="V45" s="154">
        <f t="shared" si="45"/>
        <v>0</v>
      </c>
    </row>
    <row r="46" spans="1:22" ht="15.75" x14ac:dyDescent="0.25">
      <c r="D46" s="123" t="s">
        <v>786</v>
      </c>
      <c r="E46" s="208">
        <f t="shared" si="40"/>
        <v>0</v>
      </c>
      <c r="F46" s="159"/>
      <c r="G46" s="159"/>
      <c r="H46" s="159">
        <f t="shared" si="46"/>
        <v>0</v>
      </c>
      <c r="I46" s="153">
        <v>7</v>
      </c>
      <c r="J46" s="154">
        <f t="shared" si="41"/>
        <v>0</v>
      </c>
      <c r="K46" s="158">
        <f t="shared" si="42"/>
        <v>0</v>
      </c>
      <c r="L46" s="159"/>
      <c r="M46" s="160"/>
      <c r="N46" s="159">
        <f t="shared" si="47"/>
        <v>0</v>
      </c>
      <c r="O46" s="153">
        <v>7</v>
      </c>
      <c r="P46" s="154">
        <f t="shared" si="43"/>
        <v>0</v>
      </c>
      <c r="Q46" s="158">
        <f t="shared" si="44"/>
        <v>0</v>
      </c>
      <c r="R46" s="159"/>
      <c r="S46" s="160"/>
      <c r="T46" s="159">
        <f t="shared" si="48"/>
        <v>0</v>
      </c>
      <c r="U46" s="153">
        <v>7</v>
      </c>
      <c r="V46" s="154">
        <f t="shared" si="45"/>
        <v>0</v>
      </c>
    </row>
    <row r="47" spans="1:22" ht="15.75" x14ac:dyDescent="0.25">
      <c r="D47" s="123" t="s">
        <v>787</v>
      </c>
      <c r="E47" s="208">
        <f t="shared" si="40"/>
        <v>0</v>
      </c>
      <c r="F47" s="159"/>
      <c r="G47" s="159"/>
      <c r="H47" s="159">
        <f t="shared" si="46"/>
        <v>0</v>
      </c>
      <c r="I47" s="153">
        <v>7</v>
      </c>
      <c r="J47" s="154">
        <f t="shared" si="41"/>
        <v>0</v>
      </c>
      <c r="K47" s="158">
        <f t="shared" si="42"/>
        <v>0</v>
      </c>
      <c r="L47" s="159"/>
      <c r="M47" s="160"/>
      <c r="N47" s="159">
        <f t="shared" si="47"/>
        <v>0</v>
      </c>
      <c r="O47" s="153">
        <v>7</v>
      </c>
      <c r="P47" s="154">
        <f t="shared" si="43"/>
        <v>0</v>
      </c>
      <c r="Q47" s="158">
        <f t="shared" si="44"/>
        <v>0</v>
      </c>
      <c r="R47" s="159"/>
      <c r="S47" s="160"/>
      <c r="T47" s="159">
        <f t="shared" si="48"/>
        <v>0</v>
      </c>
      <c r="U47" s="153">
        <v>7</v>
      </c>
      <c r="V47" s="154">
        <f t="shared" si="45"/>
        <v>0</v>
      </c>
    </row>
    <row r="48" spans="1:22" ht="15.75" x14ac:dyDescent="0.25">
      <c r="D48" s="123" t="s">
        <v>783</v>
      </c>
      <c r="E48" s="208">
        <f t="shared" si="40"/>
        <v>0</v>
      </c>
      <c r="F48" s="159"/>
      <c r="G48" s="159"/>
      <c r="H48" s="159">
        <f t="shared" si="46"/>
        <v>0</v>
      </c>
      <c r="I48" s="153">
        <v>7</v>
      </c>
      <c r="J48" s="154">
        <f t="shared" si="41"/>
        <v>0</v>
      </c>
      <c r="K48" s="158">
        <f t="shared" si="42"/>
        <v>0</v>
      </c>
      <c r="L48" s="159"/>
      <c r="M48" s="160"/>
      <c r="N48" s="159">
        <f t="shared" si="47"/>
        <v>0</v>
      </c>
      <c r="O48" s="153">
        <v>7</v>
      </c>
      <c r="P48" s="154">
        <f t="shared" si="43"/>
        <v>0</v>
      </c>
      <c r="Q48" s="158">
        <f t="shared" si="44"/>
        <v>0</v>
      </c>
      <c r="R48" s="159"/>
      <c r="S48" s="160"/>
      <c r="T48" s="159">
        <f t="shared" si="48"/>
        <v>0</v>
      </c>
      <c r="U48" s="153">
        <v>7</v>
      </c>
      <c r="V48" s="154">
        <f t="shared" si="45"/>
        <v>0</v>
      </c>
    </row>
  </sheetData>
  <mergeCells count="7">
    <mergeCell ref="A5:A7"/>
    <mergeCell ref="B2:B3"/>
    <mergeCell ref="E2:J2"/>
    <mergeCell ref="K2:P2"/>
    <mergeCell ref="Q2:V2"/>
    <mergeCell ref="C2:C3"/>
    <mergeCell ref="D2:D3"/>
  </mergeCells>
  <pageMargins left="0.7" right="0.7" top="0.75" bottom="0.75" header="0.3" footer="0.3"/>
  <pageSetup paperSize="9" scale="84" orientation="landscape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пр.1дох.23</vt:lpstr>
      <vt:lpstr>пр.2 Рд,пр 23</vt:lpstr>
      <vt:lpstr>Пр.3 Рд,пр, ЦС,ВР 23</vt:lpstr>
      <vt:lpstr>Пр.4 Ведом23</vt:lpstr>
      <vt:lpstr>пр.5 МП 23</vt:lpstr>
      <vt:lpstr>пр.6 Дет.бюджет</vt:lpstr>
      <vt:lpstr>пр.7 публ. 23</vt:lpstr>
      <vt:lpstr>пр.8 Ист-ки 23</vt:lpstr>
      <vt:lpstr>Лист1</vt:lpstr>
      <vt:lpstr>пр.1дох.23!Область_печати</vt:lpstr>
      <vt:lpstr>'пр.2 Рд,пр 23'!Область_печати</vt:lpstr>
      <vt:lpstr>'Пр.3 Рд,пр, ЦС,ВР 23'!Область_печати</vt:lpstr>
      <vt:lpstr>'Пр.4 Ведом23'!Область_печати</vt:lpstr>
      <vt:lpstr>'пр.5 МП 23'!Область_печати</vt:lpstr>
      <vt:lpstr>'пр.6 Дет.бюджет'!Область_печати</vt:lpstr>
      <vt:lpstr>'пр.7 публ. 23'!Область_печати</vt:lpstr>
      <vt:lpstr>'пр.8 Ист-ки 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2024-04-02T05:53:15Z</dcterms:modified>
</cp:coreProperties>
</file>